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<sst xmlns="http://schemas.openxmlformats.org/spreadsheetml/2006/main" count="41" uniqueCount="38">
  <si>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Temperature compensation with NTC thermistor</t>
  </si>
  <si>
    <t>dVj/dT = -kTa/q + Vj/T</t>
  </si>
  <si>
    <t>dVj/dT = 2mV/degK</t>
  </si>
  <si>
    <t>NTC thermistor: Steinhart and Hart formula</t>
  </si>
  <si>
    <t>Vbe (semiconductor)</t>
  </si>
  <si>
    <t>Vbe (circuit)</t>
  </si>
  <si>
    <t>Tmpr(dgC)</t>
  </si>
  <si>
    <t>E</t>
  </si>
  <si>
    <t>sqrt</t>
  </si>
  <si>
    <t>Rth(kOhms)</t>
  </si>
  <si>
    <t>[approx.semicond.]</t>
  </si>
  <si>
    <t>Vj</t>
  </si>
  <si>
    <t>Vbe</t>
  </si>
  <si>
    <t>Vj'(lin)</t>
  </si>
  <si>
    <t>^</t>
  </si>
  <si>
    <t>k1</t>
  </si>
  <si>
    <t>tmpr.offs</t>
  </si>
  <si>
    <t>k2</t>
  </si>
  <si>
    <t>k3</t>
  </si>
  <si>
    <t>D</t>
  </si>
  <si>
    <t>Rref(Ohms) [10000]</t>
  </si>
  <si>
    <t>R25(kOhms) [10]</t>
  </si>
  <si>
    <t>meas.tempr.</t>
  </si>
  <si>
    <t>Rs1 [56]</t>
  </si>
  <si>
    <t>|</t>
  </si>
  <si>
    <t>Rs2 [100]</t>
  </si>
  <si>
    <t>V</t>
  </si>
  <si>
    <t>Rs [400]</t>
  </si>
  <si>
    <t>Vss [4.2]</t>
  </si>
  <si>
    <t>Vj(25)</t>
  </si>
  <si>
    <t>~Tc</t>
  </si>
  <si>
    <t>T(0)</t>
  </si>
  <si>
    <t>eV</t>
  </si>
  <si>
    <t>k(Boltzmann)</t>
  </si>
  <si>
    <t>a (Si=0.18, Ge = 0.12)</t>
  </si>
  <si>
    <t>b (Si=7000, GE=4500)</t>
  </si>
  <si>
    <t>k*a/q</t>
  </si>
  <si>
    <t>circuit model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</si>
</sst>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E+00"/>
  </numFmts>
  <fonts count="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4" fontId="2" fillId="3" borderId="0" xfId="0" applyNumberFormat="1" applyFont="1" applyFill="1" applyAlignment="1">
      <alignment/>
    </xf>
    <xf numFmtId="164" fontId="0" fillId="3" borderId="0" xfId="0" applyNumberFormat="1" applyFill="1" applyAlignment="1">
      <alignment/>
    </xf>
    <xf numFmtId="164" fontId="3" fillId="0" borderId="0" xfId="0" applyFont="1" applyAlignment="1">
      <alignment/>
    </xf>
    <xf numFmtId="164" fontId="4" fillId="2" borderId="0" xfId="0" applyFont="1" applyFill="1" applyAlignment="1">
      <alignment horizontal="left"/>
    </xf>
    <xf numFmtId="164" fontId="4" fillId="4" borderId="0" xfId="0" applyFont="1" applyFill="1" applyAlignment="1">
      <alignment horizontal="left"/>
    </xf>
    <xf numFmtId="164" fontId="4" fillId="3" borderId="0" xfId="0" applyFont="1" applyFill="1" applyAlignment="1">
      <alignment horizontal="left"/>
    </xf>
    <xf numFmtId="164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1" fillId="2" borderId="0" xfId="0" applyFont="1" applyFill="1" applyAlignment="1">
      <alignment horizontal="center"/>
    </xf>
    <xf numFmtId="164" fontId="1" fillId="4" borderId="0" xfId="0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0" fillId="4" borderId="0" xfId="0" applyFill="1" applyAlignment="1">
      <alignment/>
    </xf>
    <xf numFmtId="164" fontId="0" fillId="5" borderId="0" xfId="0" applyFont="1" applyFill="1" applyAlignment="1">
      <alignment/>
    </xf>
    <xf numFmtId="164" fontId="0" fillId="6" borderId="0" xfId="0" applyFill="1" applyAlignment="1">
      <alignment/>
    </xf>
    <xf numFmtId="164" fontId="0" fillId="6" borderId="0" xfId="0" applyNumberFormat="1" applyFill="1" applyAlignment="1">
      <alignment/>
    </xf>
    <xf numFmtId="164" fontId="0" fillId="0" borderId="0" xfId="0" applyFont="1" applyAlignment="1">
      <alignment/>
    </xf>
    <xf numFmtId="164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Sheet1!$A$9:$A$27</c:f>
              <c:numCache/>
            </c:numRef>
          </c:xVal>
          <c:yVal>
            <c:numRef>
              <c:f>Sheet1!$G$9:$G$27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Sheet1!$A$9:$A$27</c:f>
              <c:numCache/>
            </c:numRef>
          </c:xVal>
          <c:yVal>
            <c:numRef>
              <c:f>Sheet1!$H$9:$H$27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Sheet1!$A$9:$A$27</c:f>
              <c:numCache/>
            </c:numRef>
          </c:xVal>
          <c:yVal>
            <c:numRef>
              <c:f>Sheet1!$I$9:$I$27</c:f>
              <c:numCache/>
            </c:numRef>
          </c:yVal>
          <c:smooth val="0"/>
        </c:ser>
        <c:ser>
          <c:idx val="3"/>
          <c:order val="3"/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Sheet1!$A$9:$A$27</c:f>
              <c:numCache/>
            </c:numRef>
          </c:xVal>
          <c:yVal>
            <c:numRef>
              <c:f>Sheet1!$J$9:$J$27</c:f>
              <c:numCache/>
            </c:numRef>
          </c:yVal>
          <c:smooth val="0"/>
        </c:ser>
        <c:ser>
          <c:idx val="4"/>
          <c:order val="4"/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Sheet1!$K$9:$K$27</c:f>
              <c:strCache/>
            </c:strRef>
          </c:xVal>
          <c:yVal>
            <c:numRef>
              <c:f>Sheet1!$J$9:$J$27</c:f>
              <c:numCache/>
            </c:numRef>
          </c:yVal>
          <c:smooth val="0"/>
        </c:ser>
        <c:axId val="13532044"/>
        <c:axId val="54679533"/>
      </c:scatterChart>
      <c:valAx>
        <c:axId val="1353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79533"/>
        <c:crossesAt val="0"/>
        <c:crossBetween val="midCat"/>
        <c:dispUnits/>
      </c:valAx>
      <c:valAx>
        <c:axId val="54679533"/>
        <c:scaling>
          <c:orientation val="minMax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32044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</xdr:row>
      <xdr:rowOff>104775</xdr:rowOff>
    </xdr:from>
    <xdr:to>
      <xdr:col>20</xdr:col>
      <xdr:colOff>523875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5600700" y="266700"/>
        <a:ext cx="561022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552450</xdr:colOff>
      <xdr:row>38</xdr:row>
      <xdr:rowOff>47625</xdr:rowOff>
    </xdr:from>
    <xdr:to>
      <xdr:col>9</xdr:col>
      <xdr:colOff>28575</xdr:colOff>
      <xdr:row>55</xdr:row>
      <xdr:rowOff>38100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6200775"/>
          <a:ext cx="2295525" cy="2743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A1" sqref="A1"/>
    </sheetView>
  </sheetViews>
  <sheetFormatPr defaultColWidth="9.140625" defaultRowHeight="12.75"/>
  <cols>
    <col min="2" max="2" width="7.00390625" style="1" customWidth="1"/>
    <col min="3" max="3" width="5.7109375" style="0" customWidth="1"/>
    <col min="4" max="4" width="6.8515625" style="0" customWidth="1"/>
    <col min="6" max="6" width="8.421875" style="0" customWidth="1"/>
    <col min="7" max="7" width="9.00390625" style="2" customWidth="1"/>
    <col min="8" max="8" width="7.7109375" style="2" customWidth="1"/>
    <col min="9" max="9" width="8.00390625" style="3" customWidth="1"/>
    <col min="10" max="10" width="5.7109375" style="1" customWidth="1"/>
    <col min="11" max="11" width="5.28125" style="0" customWidth="1"/>
    <col min="12" max="12" width="5.140625" style="0" customWidth="1"/>
  </cols>
  <sheetData>
    <row r="1" spans="1:10" ht="12.75">
      <c r="A1" s="4" t="s">
        <v>0</v>
      </c>
      <c r="F1" s="5" t="s">
        <v>1</v>
      </c>
      <c r="G1" s="6"/>
      <c r="I1" s="7" t="s">
        <v>2</v>
      </c>
      <c r="J1" s="8"/>
    </row>
    <row r="2" spans="1:11" ht="12.75">
      <c r="A2" s="9" t="s">
        <v>3</v>
      </c>
      <c r="G2" s="10" t="s">
        <v>4</v>
      </c>
      <c r="H2" s="11" t="s">
        <v>5</v>
      </c>
      <c r="I2" s="12" t="s">
        <v>4</v>
      </c>
      <c r="K2">
        <v>4</v>
      </c>
    </row>
    <row r="3" spans="1:11" ht="12.75">
      <c r="A3" s="13" t="s">
        <v>6</v>
      </c>
      <c r="B3" s="14" t="s">
        <v>7</v>
      </c>
      <c r="C3" s="15" t="s">
        <v>8</v>
      </c>
      <c r="D3" s="13" t="s">
        <v>9</v>
      </c>
      <c r="E3" s="16" t="s">
        <v>10</v>
      </c>
      <c r="F3" s="15"/>
      <c r="G3" s="17" t="s">
        <v>11</v>
      </c>
      <c r="H3" s="18" t="s">
        <v>12</v>
      </c>
      <c r="I3" s="19" t="s">
        <v>13</v>
      </c>
      <c r="J3" s="14"/>
      <c r="K3" t="s">
        <v>14</v>
      </c>
    </row>
    <row r="4" spans="1:11" ht="12.75">
      <c r="A4">
        <v>-30</v>
      </c>
      <c r="B4" s="1">
        <f>$F$6-($F$5/(A4+$F$4))</f>
        <v>-14997.7850451931</v>
      </c>
      <c r="C4" s="1">
        <f>SQRT(B4*B4+$F$7)</f>
        <v>26492.518873482335</v>
      </c>
      <c r="D4" s="1">
        <f>($F$10/$F$8)*EXP(EXP((1/3)*LN(C4-B4))-EXP((1/3)*LN(C4+B4)))</f>
        <v>81.37134251801238</v>
      </c>
      <c r="E4" t="s">
        <v>15</v>
      </c>
      <c r="F4">
        <v>273.4</v>
      </c>
      <c r="G4" s="6">
        <f>$G$18-($G$18/($F$29+(($A$18+A4)/2))-($F$34*($F$29+(($A$18+A4)/2))))*($A$18-A4)</f>
        <v>0.7085213653969968</v>
      </c>
      <c r="H4" s="20">
        <f>$F$16*($F$12+(D4*$F$13/(D4+$F$13)))/($F$12+(D4*$F$13)/(D4+$F$13)+$F$15)</f>
        <v>4.726760654749755</v>
      </c>
      <c r="I4" s="8">
        <f>$I$18+($F$25*(A4-$A$18))</f>
        <v>0.71</v>
      </c>
      <c r="K4" t="s">
        <v>16</v>
      </c>
    </row>
    <row r="5" spans="1:9" ht="12.75">
      <c r="A5" s="1">
        <f>A4+5</f>
        <v>-25</v>
      </c>
      <c r="B5" s="1">
        <f>$F$6-($F$5/(A5+$F$4))</f>
        <v>-14579.818357487926</v>
      </c>
      <c r="C5" s="1">
        <f>SQRT(B5*B5+$F$7)</f>
        <v>26258.162603985485</v>
      </c>
      <c r="D5" s="1">
        <f>($F$10/$F$8)*EXP(EXP((1/3)*LN(C5-B5))-EXP((1/3)*LN(C5+B5)))</f>
        <v>60.165731203031704</v>
      </c>
      <c r="E5" t="s">
        <v>17</v>
      </c>
      <c r="F5">
        <v>5054100</v>
      </c>
      <c r="G5" s="6">
        <f>$G$18-($G$18/($F$29+(($A$18+A5)/2))-($F$34*($F$29+(($A$18+A5)/2))))*($A$18-A5)</f>
        <v>0.7016082047166317</v>
      </c>
      <c r="H5" s="20">
        <f>$F$16*($F$12+(D5*$F$13/(D5+$F$13)))/($F$12+(D5*$F$13)/(D5+$F$13)+$F$15)</f>
        <v>4.637511002062058</v>
      </c>
      <c r="I5" s="8">
        <f>$I$18+($F$25*(A5-$A$18))</f>
        <v>0.7</v>
      </c>
    </row>
    <row r="6" spans="1:9" ht="12.75">
      <c r="A6" s="1">
        <f>A5+5</f>
        <v>-20</v>
      </c>
      <c r="B6" s="1">
        <f>$F$6-($F$5/(A6+$F$4))</f>
        <v>-14178.346014206789</v>
      </c>
      <c r="C6" s="1">
        <f>SQRT(B6*B6+$F$7)</f>
        <v>26037.38649900511</v>
      </c>
      <c r="D6" s="1">
        <f>($F$10/$F$8)*EXP(EXP((1/3)*LN(C6-B6))-EXP((1/3)*LN(C6+B6)))</f>
        <v>44.92016097626087</v>
      </c>
      <c r="E6" t="s">
        <v>18</v>
      </c>
      <c r="F6">
        <v>5766.8</v>
      </c>
      <c r="G6" s="6">
        <f>$G$18-($G$18/($F$29+(($A$18+A6)/2))-($F$34*($F$29+(($A$18+A6)/2))))*($A$18-A6)</f>
        <v>0.6940879713595302</v>
      </c>
      <c r="H6" s="20">
        <f>$F$16*($F$12+(D6*$F$13/(D6+$F$13)))/($F$12+(D6*$F$13)/(D6+$F$13)+$F$15)</f>
        <v>4.526209599355256</v>
      </c>
      <c r="I6" s="8">
        <f>$I$18+($F$25*(A6-$A$18))</f>
        <v>0.69</v>
      </c>
    </row>
    <row r="7" spans="1:9" ht="12.75">
      <c r="A7" s="1">
        <f>A6+5</f>
        <v>-15</v>
      </c>
      <c r="B7" s="1">
        <f>$F$6-($F$5/(A7+$F$4))</f>
        <v>-13792.41052631579</v>
      </c>
      <c r="C7" s="1">
        <f>SQRT(B7*B7+$F$7)</f>
        <v>25829.258373527235</v>
      </c>
      <c r="D7" s="1">
        <f>($F$10/$F$8)*EXP(EXP((1/3)*LN(C7-B7))-EXP((1/3)*LN(C7+B7)))</f>
        <v>33.8501371787993</v>
      </c>
      <c r="E7" t="s">
        <v>19</v>
      </c>
      <c r="F7">
        <v>476920000</v>
      </c>
      <c r="G7" s="6">
        <f>$G$18-($G$18/($F$29+(($A$18+A7)/2))-($F$34*($F$29+(($A$18+A7)/2))))*($A$18-A7)</f>
        <v>0.685966592838089</v>
      </c>
      <c r="H7" s="20">
        <f>$F$16*($F$12+(D7*$F$13/(D7+$F$13)))/($F$12+(D7*$F$13)/(D7+$F$13)+$F$15)</f>
        <v>4.390223060824493</v>
      </c>
      <c r="I7" s="8">
        <f>$I$18+($F$25*(A7-$A$18))</f>
        <v>0.6799999999999999</v>
      </c>
    </row>
    <row r="8" spans="1:9" ht="12.75">
      <c r="A8" s="1">
        <f>A7+5</f>
        <v>-10</v>
      </c>
      <c r="B8" s="1">
        <f>$F$6-($F$5/(A8+$F$4))</f>
        <v>-13421.127107061508</v>
      </c>
      <c r="C8" s="1">
        <f>SQRT(B8*B8+$F$7)</f>
        <v>25632.921269802653</v>
      </c>
      <c r="D8" s="1">
        <f>($F$10/$F$8)*EXP(EXP((1/3)*LN(C8-B8))-EXP((1/3)*LN(C8+B8)))</f>
        <v>25.7353345436044</v>
      </c>
      <c r="E8" t="s">
        <v>20</v>
      </c>
      <c r="F8">
        <v>9890</v>
      </c>
      <c r="G8" s="6">
        <f>$G$18-($G$18/($F$29+(($A$18+A8)/2))-($F$34*($F$29+(($A$18+A8)/2))))*($A$18-A8)</f>
        <v>0.6772497853451901</v>
      </c>
      <c r="H8" s="20">
        <f>$F$16*($F$12+(D8*$F$13/(D8+$F$13)))/($F$12+(D8*$F$13)/(D8+$F$13)+$F$15)</f>
        <v>4.227703128086894</v>
      </c>
      <c r="I8" s="8">
        <f>$I$18+($F$25*(A8-$A$18))</f>
        <v>0.6699999999999999</v>
      </c>
    </row>
    <row r="9" spans="1:9" ht="12.75">
      <c r="A9" s="1">
        <f>A8+5</f>
        <v>-5</v>
      </c>
      <c r="B9" s="1">
        <f>$F$6-($F$5/(A9+$F$4))</f>
        <v>-13063.676900149032</v>
      </c>
      <c r="C9" s="1">
        <f>SQRT(B9*B9+$F$7)</f>
        <v>25447.586411121338</v>
      </c>
      <c r="D9" s="1">
        <f>($F$10/$F$8)*EXP(EXP((1/3)*LN(C9-B9))-EXP((1/3)*LN(C9+B9)))</f>
        <v>19.732519322098653</v>
      </c>
      <c r="G9" s="6">
        <f>$G$18-($G$18/($F$29+(($A$18+A9)/2))-($F$34*($F$29+(($A$18+A9)/2))))*($A$18-A9)</f>
        <v>0.6679430630881009</v>
      </c>
      <c r="H9" s="20">
        <f>$F$16*($F$12+(D9*$F$13/(D9+$F$13)))/($F$12+(D9*$F$13)/(D9+$F$13)+$F$15)</f>
        <v>4.038013859360503</v>
      </c>
      <c r="I9" s="8">
        <f>$I$18+($F$25*(A9-$A$18))</f>
        <v>0.6599999999999999</v>
      </c>
    </row>
    <row r="10" spans="1:9" ht="12.75">
      <c r="A10" s="1">
        <f>A9+5</f>
        <v>0</v>
      </c>
      <c r="B10" s="1">
        <f>$F$6-($F$5/(A10+$F$4))</f>
        <v>-12719.300950987566</v>
      </c>
      <c r="C10" s="1">
        <f>SQRT(B10*B10+$F$7)</f>
        <v>25272.526915245202</v>
      </c>
      <c r="D10" s="1">
        <f>($F$10/$F$8)*EXP(EXP((1/3)*LN(C10-B10))-EXP((1/3)*LN(C10+B10)))</f>
        <v>15.25319523512457</v>
      </c>
      <c r="E10" t="s">
        <v>21</v>
      </c>
      <c r="F10">
        <v>4.7</v>
      </c>
      <c r="G10" s="6">
        <f>$G$18-($G$18/($F$29+(($A$18+A10)/2))-($F$34*($F$29+(($A$18+A10)/2))))*($A$18-A10)</f>
        <v>0.6580517471319782</v>
      </c>
      <c r="H10" s="20">
        <f>$F$16*($F$12+(D10*$F$13/(D10+$F$13)))/($F$12+(D10*$F$13)/(D10+$F$13)+$F$15)</f>
        <v>3.8221064450163693</v>
      </c>
      <c r="I10" s="8">
        <f>$I$18+($F$25*(A10-$A$18))</f>
        <v>0.65</v>
      </c>
    </row>
    <row r="11" spans="1:11" ht="12.75">
      <c r="A11" s="1">
        <f>A10+5</f>
        <v>5</v>
      </c>
      <c r="B11" s="1">
        <f>$F$6-($F$5/(A11+$F$4))</f>
        <v>-12387.29482758621</v>
      </c>
      <c r="C11" s="1">
        <f>SQRT(B11*B11+$F$7)</f>
        <v>25107.072173902397</v>
      </c>
      <c r="D11" s="1">
        <f>($F$10/$F$8)*EXP(EXP((1/3)*LN(C11-B11))-EXP((1/3)*LN(C11+B11)))</f>
        <v>11.882709386067603</v>
      </c>
      <c r="G11" s="6">
        <f>$G$18-($G$18/($F$29+(($A$18+A11)/2))-($F$34*($F$29+(($A$18+A11)/2))))*($A$18-A11)</f>
        <v>0.6475809737827715</v>
      </c>
      <c r="H11" s="20">
        <f>$F$16*($F$12+(D11*$F$13/(D11+$F$13)))/($F$12+(D11*$F$13)/(D11+$F$13)+$F$15)</f>
        <v>3.5827405903276497</v>
      </c>
      <c r="I11" s="8">
        <f>$I$18+($F$25*(A11-$A$18))</f>
        <v>0.64</v>
      </c>
      <c r="K11" t="s">
        <v>22</v>
      </c>
    </row>
    <row r="12" spans="1:12" ht="12.75">
      <c r="A12" s="1">
        <f>A11+5</f>
        <v>10</v>
      </c>
      <c r="B12" s="1">
        <f>$F$6-($F$5/(A12+$F$4))</f>
        <v>-12067.003810868035</v>
      </c>
      <c r="C12" s="1">
        <f>SQRT(B12*B12+$F$7)</f>
        <v>24950.602817797884</v>
      </c>
      <c r="D12" s="2">
        <f>($F$10/$F$8)*EXP(EXP((1/3)*LN(C12-B12))-EXP((1/3)*LN(C12+B12)))</f>
        <v>9.326210790716301</v>
      </c>
      <c r="E12" s="21" t="s">
        <v>23</v>
      </c>
      <c r="F12" s="21">
        <v>0</v>
      </c>
      <c r="G12" s="6">
        <f>$G$18-($G$18/($F$29+(($A$18+A12)/2))-($F$34*($F$29+(($A$18+A12)/2))))*($A$18-A12)</f>
        <v>0.6365357025372759</v>
      </c>
      <c r="H12" s="20">
        <f>$F$16*($F$12+(D12*$F$13/(D12+$F$13)))/($F$12+(D12*$F$13)/(D12+$F$13)+$F$15)</f>
        <v>3.324461426668944</v>
      </c>
      <c r="I12" s="8">
        <f>$I$18+($F$25*(A12-$A$18))</f>
        <v>0.63</v>
      </c>
      <c r="K12" t="s">
        <v>24</v>
      </c>
      <c r="L12" t="s">
        <v>24</v>
      </c>
    </row>
    <row r="13" spans="1:12" ht="12.75">
      <c r="A13" s="1">
        <f>A12+5</f>
        <v>15</v>
      </c>
      <c r="B13" s="1">
        <f>$F$6-($F$5/(A13+$F$4))</f>
        <v>-11757.818585298199</v>
      </c>
      <c r="C13" s="1">
        <f>SQRT(B13*B13+$F$7)</f>
        <v>24802.54619761414</v>
      </c>
      <c r="D13" s="2">
        <f>($F$10/$F$8)*EXP(EXP((1/3)*LN(C13-B13))-EXP((1/3)*LN(C13+B13)))</f>
        <v>7.372185943932583</v>
      </c>
      <c r="E13" s="21" t="s">
        <v>25</v>
      </c>
      <c r="F13" s="21">
        <v>100000</v>
      </c>
      <c r="G13" s="6">
        <f>$G$18-($G$18/($F$29+(($A$18+A13)/2))-($F$34*($F$29+(($A$18+A13)/2))))*($A$18-A13)</f>
        <v>0.624920723626184</v>
      </c>
      <c r="H13" s="20">
        <f>$F$16*($F$12+(D13*$F$13/(D13+$F$13)))/($F$12+(D13*$F$13)/(D13+$F$13)+$F$15)</f>
        <v>3.0532889361053077</v>
      </c>
      <c r="I13" s="8">
        <f>$I$18+($F$25*(A13-$A$18))</f>
        <v>0.62</v>
      </c>
      <c r="K13" t="s">
        <v>26</v>
      </c>
      <c r="L13" t="s">
        <v>26</v>
      </c>
    </row>
    <row r="14" spans="1:12" ht="12.75">
      <c r="A14" s="1">
        <v>18.5</v>
      </c>
      <c r="B14" s="1">
        <f>$F$6-($F$5/(A14+$F$4))</f>
        <v>-11547.691264131554</v>
      </c>
      <c r="C14" s="1">
        <f>SQRT(B14*B14+$F$7)</f>
        <v>24703.626728310566</v>
      </c>
      <c r="D14" s="2">
        <f>($F$10/$F$8)*EXP(EXP((1/3)*LN(C14-B14))-EXP((1/3)*LN(C14+B14)))</f>
        <v>6.279095749829544</v>
      </c>
      <c r="E14" s="21"/>
      <c r="F14" s="21"/>
      <c r="G14" s="6">
        <f>$G$18-($G$18/($F$29+(($A$18+A14)/2))-($F$34*($F$29+(($A$18+A14)/2))))*($A$18-A14)</f>
        <v>0.6164537469944534</v>
      </c>
      <c r="H14" s="22">
        <f>$F$16*($F$12+(D14*$F$13/(D14+$F$13)))/($F$12+(D14*$F$13)/(D14+$F$13)+$F$15)</f>
        <v>2.8594918541945646</v>
      </c>
      <c r="I14" s="8">
        <f>$I$18+($F$25*(A14-$A$18))</f>
        <v>0.613</v>
      </c>
      <c r="J14" s="23">
        <f>H17</f>
        <v>2.637588508967248</v>
      </c>
      <c r="K14" s="1">
        <f>A14+$K$2</f>
        <v>22.5</v>
      </c>
      <c r="L14">
        <v>23.2</v>
      </c>
    </row>
    <row r="15" spans="1:11" ht="12.75">
      <c r="A15" s="1">
        <f>A13+5</f>
        <v>20</v>
      </c>
      <c r="B15" s="1">
        <f>$F$6-($F$5/(A15+$F$4))</f>
        <v>-11459.17137014315</v>
      </c>
      <c r="C15" s="1">
        <f>SQRT(B15*B15+$F$7)</f>
        <v>24662.372320811082</v>
      </c>
      <c r="D15" s="2">
        <f>($F$10/$F$8)*EXP(EXP((1/3)*LN(C15-B15))-EXP((1/3)*LN(C15+B15)))</f>
        <v>5.867617566556662</v>
      </c>
      <c r="E15" s="21" t="s">
        <v>27</v>
      </c>
      <c r="F15" s="21">
        <v>4.7</v>
      </c>
      <c r="G15" s="6">
        <f>$G$18-($G$18/($F$29+(($A$18+A15)/2))-($F$34*($F$29+(($A$18+A15)/2))))*($A$18-A15)</f>
        <v>0.6127406651742429</v>
      </c>
      <c r="H15" s="20">
        <f>$F$16*($F$12+(D15*$F$13/(D15+$F$13)))/($F$12+(D15*$F$13)/(D15+$F$13)+$F$15)</f>
        <v>2.776152907317493</v>
      </c>
      <c r="I15" s="8">
        <f>$I$18+($F$25*(A15-$A$18))</f>
        <v>0.61</v>
      </c>
      <c r="J15" s="1">
        <f>J$14-(J$14-J$19)*(A15-A$14)/(A$19-A$14)</f>
        <v>2.564487757593116</v>
      </c>
      <c r="K15" s="1">
        <f>A15+$K$2</f>
        <v>24</v>
      </c>
    </row>
    <row r="16" spans="1:11" ht="12.75">
      <c r="A16" s="1">
        <f>A15+2</f>
        <v>22</v>
      </c>
      <c r="B16" s="1">
        <f>$F$6-($F$5/(A16+$F$4))</f>
        <v>-11342.543263371703</v>
      </c>
      <c r="C16" s="1">
        <f>SQRT(B16*B16+$F$7)</f>
        <v>24608.398722417085</v>
      </c>
      <c r="D16" s="2">
        <f>($F$10/$F$8)*EXP(EXP((1/3)*LN(C16-B16))-EXP((1/3)*LN(C16+B16)))</f>
        <v>5.36554323600094</v>
      </c>
      <c r="E16" s="21" t="s">
        <v>28</v>
      </c>
      <c r="F16" s="21">
        <v>5</v>
      </c>
      <c r="G16" s="6">
        <f>$G$18-($G$18/($F$29+(($A$18+A16)/2))-($F$34*($F$29+(($A$18+A16)/2))))*($A$18-A16)</f>
        <v>0.6077114265020748</v>
      </c>
      <c r="H16" s="20">
        <f>$F$16*($F$12+(D16*$F$13/(D16+$F$13)))/($F$12+(D16*$F$13)/(D16+$F$13)+$F$15)</f>
        <v>2.6652355894239887</v>
      </c>
      <c r="I16" s="8">
        <f>$I$18+($F$25*(A16-$A$18))</f>
        <v>0.606</v>
      </c>
      <c r="J16" s="1">
        <f>J$14-(J$14-J$19)*(A16-A$14)/(A$19-A$14)</f>
        <v>2.467020089094273</v>
      </c>
      <c r="K16" s="1">
        <f>A16+$K$2</f>
        <v>26</v>
      </c>
    </row>
    <row r="17" spans="1:11" ht="12.75">
      <c r="A17" s="1">
        <v>22.5</v>
      </c>
      <c r="B17" s="1">
        <f>$F$6-($F$5/(A17+$F$4))</f>
        <v>-11313.632578573845</v>
      </c>
      <c r="C17" s="1">
        <f>SQRT(B17*B17+$F$7)</f>
        <v>24595.08654432766</v>
      </c>
      <c r="D17" s="2">
        <f>($F$10/$F$8)*EXP(EXP((1/3)*LN(C17-B17))-EXP((1/3)*LN(C17+B17)))</f>
        <v>5.247737993044385</v>
      </c>
      <c r="E17" s="21"/>
      <c r="F17" s="21"/>
      <c r="G17" s="6">
        <f>$G$18-($G$18/($F$29+(($A$18+A17)/2))-($F$34*($F$29+(($A$18+A17)/2))))*($A$18-A17)</f>
        <v>0.6064401347640165</v>
      </c>
      <c r="H17" s="20">
        <f>$F$16*($F$12+(D17*$F$13/(D17+$F$13)))/($F$12+(D17*$F$13)/(D17+$F$13)+$F$15)</f>
        <v>2.637588508967248</v>
      </c>
      <c r="I17" s="8">
        <f>$I$18+($F$25*(A17-$A$18))</f>
        <v>0.605</v>
      </c>
      <c r="J17" s="1">
        <f>J$14-(J$14-J$19)*(A17-A$14)/(A$19-A$14)</f>
        <v>2.4426531719695626</v>
      </c>
      <c r="K17" s="1">
        <f>A17+$K$2</f>
        <v>26.5</v>
      </c>
    </row>
    <row r="18" spans="1:11" ht="12.75">
      <c r="A18" s="24">
        <f>A15+5</f>
        <v>25</v>
      </c>
      <c r="B18" s="1">
        <f>$F$6-($F$5/(A18+$F$4))</f>
        <v>-11170.532439678285</v>
      </c>
      <c r="C18" s="1">
        <f>SQRT(B18*B18+$F$7)</f>
        <v>24529.59019196825</v>
      </c>
      <c r="D18" s="1">
        <f>($F$10/$F$8)*EXP(EXP((1/3)*LN(C18-B18))-EXP((1/3)*LN(C18+B18)))</f>
        <v>4.7009049884005</v>
      </c>
      <c r="G18" s="6">
        <f>$F$21</f>
        <v>0.6</v>
      </c>
      <c r="H18" s="20">
        <f>$F$16*($F$12+(D18*$F$13/(D18+$F$13)))/($F$12+(D18*$F$13)/(D18+$F$13)+$F$15)</f>
        <v>2.5001819053034366</v>
      </c>
      <c r="I18" s="8">
        <f>$F$21</f>
        <v>0.6</v>
      </c>
      <c r="J18" s="1">
        <f>J$14-(J$14-J$19)*(A18-A$14)/(A$19-A$14)</f>
        <v>2.320818586346009</v>
      </c>
      <c r="K18" s="1">
        <f>A18+$K$2</f>
        <v>29</v>
      </c>
    </row>
    <row r="19" spans="1:12" ht="12.75">
      <c r="A19" s="24">
        <v>28</v>
      </c>
      <c r="B19" s="1">
        <f>$F$6-($F$5/(A19+$F$4))</f>
        <v>-11001.945852687462</v>
      </c>
      <c r="C19" s="1">
        <f>SQRT(B19*B19+$F$7)</f>
        <v>24453.278155402128</v>
      </c>
      <c r="D19" s="1">
        <f>($F$10/$F$8)*EXP(EXP((1/3)*LN(C19-B19))-EXP((1/3)*LN(C19+B19)))</f>
        <v>4.1279604075841005</v>
      </c>
      <c r="G19" s="25">
        <f>$G$18+($G$18/($F$29+(($A$18+A19)/2))-($F$34*($F$29+(($A$18+A19)/2))))*(A19-$A$18)</f>
        <v>0.5920883144472998</v>
      </c>
      <c r="H19" s="22">
        <f>$F$16*($F$12+(D19*$F$13/(D19+$F$13)))/($F$12+(D19*$F$13)/(D19+$F$13)+$F$15)</f>
        <v>2.3379520851076836</v>
      </c>
      <c r="I19" s="8">
        <f>$I$18+($F$25*(A19-$A$18))</f>
        <v>0.594</v>
      </c>
      <c r="J19" s="23">
        <f>H22</f>
        <v>2.1746170835977447</v>
      </c>
      <c r="K19" s="1">
        <f>A19+$K$2</f>
        <v>32</v>
      </c>
      <c r="L19">
        <v>34.4</v>
      </c>
    </row>
    <row r="20" spans="1:11" ht="12.75">
      <c r="A20" s="24">
        <v>29</v>
      </c>
      <c r="B20" s="1">
        <f>$F$6-($F$5/(A20+$F$4))</f>
        <v>-10946.493650793655</v>
      </c>
      <c r="C20" s="1">
        <f>SQRT(B20*B20+$F$7)</f>
        <v>24428.37946419831</v>
      </c>
      <c r="D20" s="1">
        <f>($F$10/$F$8)*EXP(EXP((1/3)*LN(C20-B20))-EXP((1/3)*LN(C20+B20)))</f>
        <v>3.9548978246823614</v>
      </c>
      <c r="G20" s="25">
        <f>$G$18+($G$18/($F$29+(($A$18+A20)/2))-($F$34*($F$29+(($A$18+A20)/2))))*(A20-$A$18)</f>
        <v>0.5894067415730337</v>
      </c>
      <c r="H20" s="22">
        <f>$F$16*($F$12+(D20*$F$13/(D20+$F$13)))/($F$12+(D20*$F$13)/(D20+$F$13)+$F$15)</f>
        <v>2.2847253472848643</v>
      </c>
      <c r="I20" s="8">
        <f>$I$18+($F$25*(A20-$A$18))</f>
        <v>0.592</v>
      </c>
      <c r="J20" s="23">
        <f>H23</f>
        <v>2.087336561165015</v>
      </c>
      <c r="K20" s="1">
        <f>A20+$K$2</f>
        <v>33</v>
      </c>
    </row>
    <row r="21" spans="1:11" ht="12.75">
      <c r="A21" s="1">
        <f>A18+5</f>
        <v>30</v>
      </c>
      <c r="B21" s="1">
        <f>$F$6-($F$5/(A21+$F$4))</f>
        <v>-10891.406987475282</v>
      </c>
      <c r="C21" s="1">
        <f>SQRT(B21*B21+$F$7)</f>
        <v>24403.74451117749</v>
      </c>
      <c r="D21" s="1">
        <f>($F$10/$F$8)*EXP(EXP((1/3)*LN(C21-B21))-EXP((1/3)*LN(C21+B21)))</f>
        <v>3.79001653949779</v>
      </c>
      <c r="E21" t="s">
        <v>29</v>
      </c>
      <c r="F21">
        <v>0.6</v>
      </c>
      <c r="G21" s="25">
        <f>$G$18+($G$18/($F$29+(($A$18+A21)/2))-($F$34*($F$29+(($A$18+A21)/2))))*(A21-$A$18)</f>
        <v>0.5867030520761278</v>
      </c>
      <c r="H21" s="22">
        <f>$F$16*($F$12+(D21*$F$13/(D21+$F$13)))/($F$12+(D21*$F$13)/(D21+$F$13)+$F$15)</f>
        <v>2.231996253729577</v>
      </c>
      <c r="I21" s="8">
        <f>$I$18+($F$25*(A21-$A$18))</f>
        <v>0.59</v>
      </c>
      <c r="J21" s="23">
        <f>H24</f>
        <v>2.026827665460129</v>
      </c>
      <c r="K21" s="1">
        <f>A21+$K$2</f>
        <v>34</v>
      </c>
    </row>
    <row r="22" spans="1:11" ht="12.75">
      <c r="A22" s="1">
        <v>31.1</v>
      </c>
      <c r="B22" s="1">
        <f>$F$6-($F$5/(A22+$F$4))</f>
        <v>-10831.229556650247</v>
      </c>
      <c r="C22" s="1">
        <f>SQRT(B22*B22+$F$7)</f>
        <v>24376.946767568206</v>
      </c>
      <c r="D22" s="1">
        <f>($F$10/$F$8)*EXP(EXP((1/3)*LN(C22-B22))-EXP((1/3)*LN(C22+B22)))</f>
        <v>3.617587540560666</v>
      </c>
      <c r="G22" s="25">
        <f>$G$18+($G$18/($F$29+(($A$18+A22)/2))-($F$34*($F$29+(($A$18+A22)/2))))*(A22-$A$18)</f>
        <v>0.5837034883107718</v>
      </c>
      <c r="H22" s="20">
        <f>$F$16*($F$12+(D22*$F$13/(D22+$F$13)))/($F$12+(D22*$F$13)/(D22+$F$13)+$F$15)</f>
        <v>2.1746170835977447</v>
      </c>
      <c r="I22" s="8">
        <f>$I$18+($F$25*(A22-$A$18))</f>
        <v>0.5878</v>
      </c>
      <c r="J22" s="1">
        <f>J$21-(J$21-J$26)*(A22-A$21)/(A$26-A$21)</f>
        <v>1.9747196466972425</v>
      </c>
      <c r="K22" s="1">
        <f>A22+$K$2</f>
        <v>35.1</v>
      </c>
    </row>
    <row r="23" spans="1:11" ht="12.75">
      <c r="A23" s="1">
        <v>32.8</v>
      </c>
      <c r="B23" s="1">
        <f>$F$6-($F$5/(A23+$F$4))</f>
        <v>-10739.078510777272</v>
      </c>
      <c r="C23" s="1">
        <f>SQRT(B23*B23+$F$7)</f>
        <v>24336.14199622936</v>
      </c>
      <c r="D23" s="1">
        <f>($F$10/$F$8)*EXP(EXP((1/3)*LN(C23-B23))-EXP((1/3)*LN(C23+B23)))</f>
        <v>3.368330221779541</v>
      </c>
      <c r="G23" s="25">
        <f>$G$18+($G$18/($F$29+(($A$18+A23)/2))-($F$34*($F$29+(($A$18+A23)/2))))*(A23-$A$18)</f>
        <v>0.5790153411211392</v>
      </c>
      <c r="H23" s="20">
        <f>$F$16*($F$12+(D23*$F$13/(D23+$F$13)))/($F$12+(D23*$F$13)/(D23+$F$13)+$F$15)</f>
        <v>2.087336561165015</v>
      </c>
      <c r="I23" s="8">
        <f>$I$18+($F$25*(A23-$A$18))</f>
        <v>0.5844</v>
      </c>
      <c r="J23" s="1">
        <f>J$21-(J$21-J$26)*(A23-A$21)/(A$26-A$21)</f>
        <v>1.8941890722455088</v>
      </c>
      <c r="K23" s="1">
        <f>A23+$K$2</f>
        <v>36.8</v>
      </c>
    </row>
    <row r="24" spans="1:11" ht="12.75">
      <c r="A24" s="1">
        <v>34</v>
      </c>
      <c r="B24" s="1">
        <f>$F$6-($F$5/(A24+$F$4))</f>
        <v>-10674.644372153547</v>
      </c>
      <c r="C24" s="1">
        <f>SQRT(B24*B24+$F$7)</f>
        <v>24307.777201380413</v>
      </c>
      <c r="D24" s="1">
        <f>($F$10/$F$8)*EXP(EXP((1/3)*LN(C24-B24))-EXP((1/3)*LN(C24+B24)))</f>
        <v>3.204118087662261</v>
      </c>
      <c r="G24" s="25">
        <f>$G$18+($G$18/($F$29+(($A$18+A24)/2))-($F$34*($F$29+(($A$18+A24)/2))))*(A24-$A$18)</f>
        <v>0.5756677846132416</v>
      </c>
      <c r="H24" s="20">
        <f>$F$16*($F$12+(D24*$F$13/(D24+$F$13)))/($F$12+(D24*$F$13)/(D24+$F$13)+$F$15)</f>
        <v>2.026827665460129</v>
      </c>
      <c r="I24" s="8">
        <f>$I$18+($F$25*(A24-$A$18))</f>
        <v>0.582</v>
      </c>
      <c r="J24" s="1">
        <f>J$21-(J$21-J$26)*(A24-A$21)/(A$26-A$21)</f>
        <v>1.8373439608678142</v>
      </c>
      <c r="K24" s="1">
        <f>A24+$K$2</f>
        <v>38</v>
      </c>
    </row>
    <row r="25" spans="1:11" ht="12.75">
      <c r="A25" s="1">
        <f>A21+5</f>
        <v>35</v>
      </c>
      <c r="B25" s="1">
        <f>$F$6-($F$5/(A25+$F$4))</f>
        <v>-10621.332295719847</v>
      </c>
      <c r="C25" s="1">
        <f>SQRT(B25*B25+$F$7)</f>
        <v>24284.412690779685</v>
      </c>
      <c r="D25" s="1">
        <f>($F$10/$F$8)*EXP(EXP((1/3)*LN(C25-B25))-EXP((1/3)*LN(C25+B25)))</f>
        <v>3.074200849132567</v>
      </c>
      <c r="E25" t="s">
        <v>30</v>
      </c>
      <c r="F25">
        <v>-0.002</v>
      </c>
      <c r="G25" s="25">
        <f>$G$18+($G$18/($F$29+(($A$18+A25)/2))-($F$34*($F$29+(($A$18+A25)/2))))*(A25-$A$18)</f>
        <v>0.5728540026699299</v>
      </c>
      <c r="H25" s="20">
        <f>$F$16*($F$12+(D25*$F$13/(D25+$F$13)))/($F$12+(D25*$F$13)/(D25+$F$13)+$F$15)</f>
        <v>1.9771445157386773</v>
      </c>
      <c r="I25" s="8">
        <f>$I$18+($F$25*(A25-$A$18))</f>
        <v>0.58</v>
      </c>
      <c r="J25" s="1">
        <f>J$21-(J$21-J$26)*(A25-A$21)/(A$26-A$21)</f>
        <v>1.7899730347197353</v>
      </c>
      <c r="K25" s="1">
        <f>A25+$K$2</f>
        <v>39</v>
      </c>
    </row>
    <row r="26" spans="1:12" ht="12.75">
      <c r="A26" s="1">
        <v>38.5</v>
      </c>
      <c r="B26" s="1">
        <f>$F$6-($F$5/(A26+$F$4))</f>
        <v>-10437.43212568131</v>
      </c>
      <c r="C26" s="1">
        <f>SQRT(B26*B26+$F$7)</f>
        <v>24204.544808324823</v>
      </c>
      <c r="D26" s="1">
        <f>($F$10/$F$8)*EXP(EXP((1/3)*LN(C26-B26))-EXP((1/3)*LN(C26+B26)))</f>
        <v>2.664442643489814</v>
      </c>
      <c r="F26">
        <v>-0.002</v>
      </c>
      <c r="G26" s="25">
        <f>$G$18+($G$18/($F$29+(($A$18+A26)/2))-($F$34*($F$29+(($A$18+A26)/2))))*(A26-$A$18)</f>
        <v>0.5628333388103621</v>
      </c>
      <c r="H26" s="22">
        <f>$F$16*($F$12+(D26*$F$13/(D26+$F$13)))/($F$12+(D26*$F$13)/(D26+$F$13)+$F$15)</f>
        <v>1.8089606136387215</v>
      </c>
      <c r="I26" s="8">
        <f>$I$18+($F$25*(A26-$A$18))</f>
        <v>0.573</v>
      </c>
      <c r="J26" s="23">
        <f>H28</f>
        <v>1.6241747932014596</v>
      </c>
      <c r="K26" s="1">
        <f>A26+$K$2</f>
        <v>42.5</v>
      </c>
      <c r="L26">
        <v>48</v>
      </c>
    </row>
    <row r="27" spans="1:9" ht="12.75">
      <c r="A27" s="1">
        <f>A25+5</f>
        <v>40</v>
      </c>
      <c r="B27" s="1">
        <f>$F$6-($F$5/(A27+$F$4))</f>
        <v>-10359.875175494577</v>
      </c>
      <c r="C27" s="1">
        <f>SQRT(B27*B27+$F$7)</f>
        <v>24171.202155702325</v>
      </c>
      <c r="D27" s="1">
        <f>($F$10/$F$8)*EXP(EXP((1/3)*LN(C27-B27))-EXP((1/3)*LN(C27+B27)))</f>
        <v>2.5081401830498478</v>
      </c>
      <c r="G27" s="25">
        <f>$G$18+($G$18/($F$29+(($A$18+A27)/2))-($F$34*($F$29+(($A$18+A27)/2))))*(A27-$A$18)</f>
        <v>0.5584568961823497</v>
      </c>
      <c r="H27" s="20">
        <f>$F$16*($F$12+(D27*$F$13/(D27+$F$13)))/($F$12+(D27*$F$13)/(D27+$F$13)+$F$15)</f>
        <v>1.7397685822363076</v>
      </c>
      <c r="I27" s="8">
        <f>$I$18+($F$25*(A27-$A$18))</f>
        <v>0.57</v>
      </c>
    </row>
    <row r="28" spans="1:9" ht="12.75">
      <c r="A28" s="1">
        <v>42.6</v>
      </c>
      <c r="B28" s="1">
        <f>$F$6-($F$5/(A28+$F$4))</f>
        <v>-10227.18734177215</v>
      </c>
      <c r="C28" s="1">
        <f>SQRT(B28*B28+$F$7)</f>
        <v>24114.629603701247</v>
      </c>
      <c r="D28" s="1">
        <f>($F$10/$F$8)*EXP(EXP((1/3)*LN(C28-B28))-EXP((1/3)*LN(C28+B28)))</f>
        <v>2.2613120290337028</v>
      </c>
      <c r="G28" s="25">
        <f>$G$18+($G$18/($F$29+(($A$18+A28)/2))-($F$34*($F$29+(($A$18+A28)/2))))*(A28-$A$18)</f>
        <v>0.5507551127515637</v>
      </c>
      <c r="H28" s="20">
        <f>$F$16*($F$12+(D28*$F$13/(D28+$F$13)))/($F$12+(D28*$F$13)/(D28+$F$13)+$F$15)</f>
        <v>1.6241747932014596</v>
      </c>
      <c r="I28" s="8">
        <f>$I$18+($F$25*(A28-$A$18))</f>
        <v>0.5648</v>
      </c>
    </row>
    <row r="29" spans="1:9" ht="12.75">
      <c r="A29" s="1">
        <f>A27+5</f>
        <v>45</v>
      </c>
      <c r="B29" s="1">
        <f>$F$6-($F$5/(A29+$F$4))</f>
        <v>-10106.629648241207</v>
      </c>
      <c r="C29" s="1">
        <f>SQRT(B29*B29+$F$7)</f>
        <v>24063.747896923873</v>
      </c>
      <c r="D29" s="1">
        <f>($F$10/$F$8)*EXP(EXP((1/3)*LN(C29-B29))-EXP((1/3)*LN(C29+B29)))</f>
        <v>2.0577935879734124</v>
      </c>
      <c r="E29" t="s">
        <v>31</v>
      </c>
      <c r="F29">
        <v>273</v>
      </c>
      <c r="G29" s="25">
        <f>$G$18+($G$18/($F$29+(($A$18+A29)/2))-($F$34*($F$29+(($A$18+A29)/2))))*(A29-$A$18)</f>
        <v>0.543515645702612</v>
      </c>
      <c r="H29" s="20">
        <f>$F$16*($F$12+(D29*$F$13/(D29+$F$13)))/($F$12+(D29*$F$13)/(D29+$F$13)+$F$15)</f>
        <v>1.5225118308539012</v>
      </c>
      <c r="I29" s="8">
        <f>$I$18+($F$25*(A29-$A$18))</f>
        <v>0.5599999999999999</v>
      </c>
    </row>
    <row r="30" spans="1:9" ht="12.75">
      <c r="A30" s="1">
        <f>A29+5</f>
        <v>50</v>
      </c>
      <c r="B30" s="1">
        <f>$F$6-($F$5/(A30+$F$4))</f>
        <v>-9861.214842300556</v>
      </c>
      <c r="C30" s="1">
        <f>SQRT(B30*B30+$F$7)</f>
        <v>23961.710251273988</v>
      </c>
      <c r="D30" s="1">
        <f>($F$10/$F$8)*EXP(EXP((1/3)*LN(C30-B30))-EXP((1/3)*LN(C30+B30)))</f>
        <v>1.697418834262371</v>
      </c>
      <c r="E30" t="s">
        <v>32</v>
      </c>
      <c r="F30" s="26">
        <v>1.602E-19</v>
      </c>
      <c r="G30" s="25">
        <f>$G$18+($G$18/($F$29+(($A$18+A30)/2))-($F$34*($F$29+(($A$18+A30)/2))))*(A30-$A$18)</f>
        <v>0.5280340382945231</v>
      </c>
      <c r="H30" s="20">
        <f>$F$16*($F$12+(D30*$F$13/(D30+$F$13)))/($F$12+(D30*$F$13)/(D30+$F$13)+$F$15)</f>
        <v>1.3266269654416565</v>
      </c>
      <c r="I30" s="8">
        <f>$I$18+($F$25*(A30-$A$18))</f>
        <v>0.5499999999999999</v>
      </c>
    </row>
    <row r="31" spans="1:9" ht="12.75">
      <c r="A31" s="1">
        <f>A30+5</f>
        <v>55</v>
      </c>
      <c r="B31" s="1">
        <f>$F$6-($F$5/(A31+$F$4))</f>
        <v>-9623.273081607796</v>
      </c>
      <c r="C31" s="1">
        <f>SQRT(B31*B31+$F$7)</f>
        <v>23864.77288396429</v>
      </c>
      <c r="D31" s="1">
        <f>($F$10/$F$8)*EXP(EXP((1/3)*LN(C31-B31))-EXP((1/3)*LN(C31+B31)))</f>
        <v>1.407423128885573</v>
      </c>
      <c r="E31" t="s">
        <v>33</v>
      </c>
      <c r="F31" s="26">
        <v>1.379E-23</v>
      </c>
      <c r="G31" s="25">
        <f>$G$18+($G$18/($F$29+(($A$18+A31)/2))-($F$34*($F$29+(($A$18+A31)/2))))*(A31-$A$18)</f>
        <v>0.5120157400294361</v>
      </c>
      <c r="H31" s="20">
        <f>$F$16*($F$12+(D31*$F$13/(D31+$F$13)))/($F$12+(D31*$F$13)/(D31+$F$13)+$F$15)</f>
        <v>1.1522108880384747</v>
      </c>
      <c r="I31" s="8">
        <f>$I$18+($F$25*(A31-$A$18))</f>
        <v>0.54</v>
      </c>
    </row>
    <row r="32" spans="1:9" ht="12.75">
      <c r="A32" s="1">
        <f>A31+5</f>
        <v>60</v>
      </c>
      <c r="B32" s="1">
        <f>$F$6-($F$5/(A32+$F$4))</f>
        <v>-9392.468146370727</v>
      </c>
      <c r="C32" s="1">
        <f>SQRT(B32*B32+$F$7)</f>
        <v>23772.640953007067</v>
      </c>
      <c r="D32" s="1">
        <f>($F$10/$F$8)*EXP(EXP((1/3)*LN(C32-B32))-EXP((1/3)*LN(C32+B32)))</f>
        <v>1.172800915348417</v>
      </c>
      <c r="E32" t="s">
        <v>34</v>
      </c>
      <c r="F32">
        <v>0.18</v>
      </c>
      <c r="G32" s="25">
        <f>$G$18+($G$18/($F$29+(($A$18+A32)/2))-($F$34*($F$29+(($A$18+A32)/2))))*(A32-$A$18)</f>
        <v>0.4954643007799284</v>
      </c>
      <c r="H32" s="20">
        <f>$F$16*($F$12+(D32*$F$13/(D32+$F$13)))/($F$12+(D32*$F$13)/(D32+$F$13)+$F$15)</f>
        <v>0.9984928184526233</v>
      </c>
      <c r="I32" s="8">
        <f>$I$18+($F$25*(A32-$A$18))</f>
        <v>0.53</v>
      </c>
    </row>
    <row r="33" spans="1:9" ht="12.75">
      <c r="A33" s="1">
        <f>A32+5</f>
        <v>65</v>
      </c>
      <c r="B33" s="1">
        <f>$F$6-($F$5/(A33+$F$4))</f>
        <v>-9168.483687943262</v>
      </c>
      <c r="C33" s="1">
        <f>SQRT(B33*B33+$F$7)</f>
        <v>23685.039437080988</v>
      </c>
      <c r="D33" s="1">
        <f>($F$10/$F$8)*EXP(EXP((1/3)*LN(C33-B33))-EXP((1/3)*LN(C33+B33)))</f>
        <v>0.9819905933758083</v>
      </c>
      <c r="E33" t="s">
        <v>35</v>
      </c>
      <c r="F33">
        <v>7000</v>
      </c>
      <c r="G33" s="25">
        <f>$G$18+($G$18/($F$29+(($A$18+A33)/2))-($F$34*($F$29+(($A$18+A33)/2))))*(A33-$A$18)</f>
        <v>0.4783831587873648</v>
      </c>
      <c r="H33" s="20">
        <f>$F$16*($F$12+(D33*$F$13/(D33+$F$13)))/($F$12+(D33*$F$13)/(D33+$F$13)+$F$15)</f>
        <v>0.8641184817272946</v>
      </c>
      <c r="I33" s="8">
        <f>$I$18+($F$25*(A33-$A$18))</f>
        <v>0.52</v>
      </c>
    </row>
    <row r="34" spans="1:9" ht="12.75">
      <c r="A34" s="1">
        <f>A33+5</f>
        <v>70</v>
      </c>
      <c r="B34" s="1">
        <f>$F$6-($F$5/(A34+$F$4))</f>
        <v>-8951.021782178217</v>
      </c>
      <c r="C34" s="1">
        <f>SQRT(B34*B34+$F$7)</f>
        <v>23601.711610496153</v>
      </c>
      <c r="D34" s="1">
        <f>($F$10/$F$8)*EXP(EXP((1/3)*LN(C34-B34))-EXP((1/3)*LN(C34+B34)))</f>
        <v>0.8260322697377452</v>
      </c>
      <c r="E34" t="s">
        <v>36</v>
      </c>
      <c r="F34" s="26">
        <f>$F$31*$F$32/$F$30</f>
        <v>1.549438202247191E-05</v>
      </c>
      <c r="G34" s="25">
        <f>$G$18+($G$18/($F$29+(($A$18+A34)/2))-($F$34*($F$29+(($A$18+A34)/2))))*(A34-$A$18)</f>
        <v>0.46077564501568824</v>
      </c>
      <c r="H34" s="20">
        <f>$F$16*($F$12+(D34*$F$13/(D34+$F$13)))/($F$12+(D34*$F$13)/(D34+$F$13)+$F$15)</f>
        <v>0.7473956232177941</v>
      </c>
      <c r="I34" s="8">
        <f>$I$18+($F$25*(A34-$A$18))</f>
        <v>0.51</v>
      </c>
    </row>
    <row r="35" spans="1:9" ht="12.75">
      <c r="A35" s="1">
        <f>A34+5</f>
        <v>75</v>
      </c>
      <c r="B35" s="1">
        <f>$F$6-($F$5/(A35+$F$4))</f>
        <v>-8739.801607347876</v>
      </c>
      <c r="C35" s="1">
        <f>SQRT(B35*B35+$F$7)</f>
        <v>23522.41765073906</v>
      </c>
      <c r="D35" s="1">
        <f>($F$10/$F$8)*EXP(EXP((1/3)*LN(C35-B35))-EXP((1/3)*LN(C35+B35)))</f>
        <v>0.6979433007075535</v>
      </c>
      <c r="F35" s="26"/>
      <c r="G35" s="25">
        <f>$G$18+($G$18/($F$29+(($A$18+A35)/2))-($F$34*($F$29+(($A$18+A35)/2))))*(A35-$A$18)</f>
        <v>0.44264498730302293</v>
      </c>
      <c r="H35" s="20">
        <f>$F$16*($F$12+(D35*$F$13/(D35+$F$13)))/($F$12+(D35*$F$13)/(D35+$F$13)+$F$15)</f>
        <v>0.6464860970622354</v>
      </c>
      <c r="I35" s="8">
        <f>$I$18+($F$25*(A35-$A$18))</f>
        <v>0.5</v>
      </c>
    </row>
    <row r="36" spans="1:9" ht="12.75">
      <c r="A36" s="1">
        <f>A35+5</f>
        <v>80</v>
      </c>
      <c r="B36" s="1">
        <f>$F$6-($F$5/(A36+$F$4))</f>
        <v>-8534.558234295419</v>
      </c>
      <c r="C36" s="1">
        <f>SQRT(B36*B36+$F$7)</f>
        <v>23446.933365678757</v>
      </c>
      <c r="D36" s="1">
        <f>($F$10/$F$8)*EXP(EXP((1/3)*LN(C36-B36))-EXP((1/3)*LN(C36+B36)))</f>
        <v>0.592252441334981</v>
      </c>
      <c r="F36" s="26"/>
      <c r="G36" s="25">
        <f>$G$18+($G$18/($F$29+(($A$18+A36)/2))-($F$34*($F$29+(($A$18+A36)/2))))*(A36-$A$18)</f>
        <v>0.42399431432195933</v>
      </c>
      <c r="H36" s="20">
        <f>$F$16*($F$12+(D36*$F$13/(D36+$F$13)))/($F$12+(D36*$F$13)/(D36+$F$13)+$F$15)</f>
        <v>0.5595437224730249</v>
      </c>
      <c r="I36" s="8">
        <f>$I$18+($F$25*(A36-$A$18))</f>
        <v>0.49</v>
      </c>
    </row>
    <row r="37" spans="1:9" ht="12.75">
      <c r="A37" s="1">
        <f>A36+5</f>
        <v>85</v>
      </c>
      <c r="B37" s="1">
        <f>$F$6-($F$5/(A37+$F$4))</f>
        <v>-8335.041517857142</v>
      </c>
      <c r="C37" s="1">
        <f>SQRT(B37*B37+$F$7)</f>
        <v>23375.049028919755</v>
      </c>
      <c r="D37" s="1">
        <f>($F$10/$F$8)*EXP(EXP((1/3)*LN(C37-B37))-EXP((1/3)*LN(C37+B37)))</f>
        <v>0.5046502357722046</v>
      </c>
      <c r="G37" s="25">
        <f>$G$18+($G$18/($F$29+(($A$18+A37)/2))-($F$34*($F$29+(($A$18+A37)/2))))*(A37-$A$18)</f>
        <v>0.4048266593587284</v>
      </c>
      <c r="H37" s="20">
        <f>$F$16*($F$12+(D37*$F$13/(D37+$F$13)))/($F$12+(D37*$F$13)/(D37+$F$13)+$F$15)</f>
        <v>0.48480485060168377</v>
      </c>
      <c r="I37" s="8">
        <f>$I$18+($F$25*(A37-$A$18))</f>
        <v>0.48</v>
      </c>
    </row>
    <row r="38" spans="1:9" ht="12.75">
      <c r="A38" s="1">
        <f>A37+5</f>
        <v>90</v>
      </c>
      <c r="B38" s="1">
        <f>$F$6-($F$5/(A38+$F$4))</f>
        <v>-8141.015079801872</v>
      </c>
      <c r="C38" s="1">
        <f>SQRT(B38*B38+$F$7)</f>
        <v>23306.56831302201</v>
      </c>
      <c r="D38" s="1">
        <f>($F$10/$F$8)*EXP(EXP((1/3)*LN(C38-B38))-EXP((1/3)*LN(C38+B38)))</f>
        <v>0.4317251241317513</v>
      </c>
      <c r="G38" s="25">
        <f>$G$18+($G$18/($F$29+(($A$18+A38)/2))-($F$34*($F$29+(($A$18+A38)/2))))*(A38-$A$18)</f>
        <v>0.38514496392085534</v>
      </c>
      <c r="H38" s="20">
        <f>$F$16*($F$12+(D38*$F$13/(D38+$F$13)))/($F$12+(D38*$F$13)/(D38+$F$13)+$F$15)</f>
        <v>0.4206416035876819</v>
      </c>
      <c r="I38" s="8">
        <f>$I$18+($F$25*(A38-$A$18))</f>
        <v>0.47</v>
      </c>
    </row>
    <row r="39" spans="1:9" ht="12.75">
      <c r="A39" s="1">
        <f>A38+5</f>
        <v>95</v>
      </c>
      <c r="B39" s="1">
        <f>$F$6-($F$5/(A39+$F$4))</f>
        <v>-7952.255374592835</v>
      </c>
      <c r="C39" s="1">
        <f>SQRT(B39*B39+$F$7)</f>
        <v>23241.307311395816</v>
      </c>
      <c r="D39" s="1">
        <f>($F$10/$F$8)*EXP(EXP((1/3)*LN(C39-B39))-EXP((1/3)*LN(C39+B39)))</f>
        <v>0.37076313384733206</v>
      </c>
      <c r="G39" s="25">
        <f>$G$18+($G$18/($F$29+(($A$18+A39)/2))-($F$34*($F$29+(($A$18+A39)/2))))*(A39-$A$18)</f>
        <v>0.3649520811823059</v>
      </c>
      <c r="H39" s="20">
        <f>$F$16*($F$12+(D39*$F$13/(D39+$F$13)))/($F$12+(D39*$F$13)/(D39+$F$13)+$F$15)</f>
        <v>0.3655878315785353</v>
      </c>
      <c r="I39" s="8">
        <f>$I$18+($F$25*(A39-$A$18))</f>
        <v>0.45999999999999996</v>
      </c>
    </row>
    <row r="40" spans="1:9" ht="12.75">
      <c r="A40" s="1">
        <f>A39+5</f>
        <v>100</v>
      </c>
      <c r="B40" s="1">
        <f>$F$6-($F$5/(A40+$F$4))</f>
        <v>-7768.550830208892</v>
      </c>
      <c r="C40" s="1">
        <f>SQRT(B40*B40+$F$7)</f>
        <v>23179.093640639603</v>
      </c>
      <c r="D40" s="1">
        <f>($F$10/$F$8)*EXP(EXP((1/3)*LN(C40-B40))-EXP((1/3)*LN(C40+B40)))</f>
        <v>0.3195950102610744</v>
      </c>
      <c r="G40" s="25">
        <f>$G$18+($G$18/($F$29+(($A$18+A40)/2))-($F$34*($F$29+(($A$18+A40)/2))))*(A40-$A$18)</f>
        <v>0.34425077927460274</v>
      </c>
      <c r="H40" s="20">
        <f>$F$16*($F$12+(D40*$F$13/(D40+$F$13)))/($F$12+(D40*$F$13)/(D40+$F$13)+$F$15)</f>
        <v>0.3183464534823439</v>
      </c>
      <c r="I40" s="8">
        <f>$I$18+($F$25*(A40-$A$18))</f>
        <v>0.44999999999999996</v>
      </c>
    </row>
    <row r="41" spans="1:9" ht="12.75">
      <c r="A41" s="1">
        <f>A40+5</f>
        <v>105</v>
      </c>
      <c r="B41" s="1">
        <f>$F$6-($F$5/(A41+$F$4))</f>
        <v>-7589.701057082452</v>
      </c>
      <c r="C41" s="1">
        <f>SQRT(B41*B41+$F$7)</f>
        <v>23119.76561593734</v>
      </c>
      <c r="D41" s="1">
        <f>($F$10/$F$8)*EXP(EXP((1/3)*LN(C41-B41))-EXP((1/3)*LN(C41+B41)))</f>
        <v>0.2764789386097158</v>
      </c>
      <c r="G41" s="25">
        <f>$G$18+($G$18/($F$29+(($A$18+A41)/2))-($F$34*($F$29+(($A$18+A41)/2))))*(A41-$A$18)</f>
        <v>0.32304374443188616</v>
      </c>
      <c r="H41" s="20">
        <f>$F$16*($F$12+(D41*$F$13/(D41+$F$13)))/($F$12+(D41*$F$13)/(D41+$F$13)+$F$15)</f>
        <v>0.27778497616933473</v>
      </c>
      <c r="I41" s="8">
        <f>$I$18+($F$25*(A41-$A$18))</f>
        <v>0.43999999999999995</v>
      </c>
    </row>
    <row r="42" spans="1:9" ht="12.75">
      <c r="A42" s="1">
        <f>A41+5</f>
        <v>110</v>
      </c>
      <c r="B42" s="1">
        <f>$F$6-($F$5/(A42+$F$4))</f>
        <v>-7415.516118935838</v>
      </c>
      <c r="C42" s="1">
        <f>SQRT(B42*B42+$F$7)</f>
        <v>23063.171492884434</v>
      </c>
      <c r="D42" s="1">
        <f>($F$10/$F$8)*EXP(EXP((1/3)*LN(C42-B42))-EXP((1/3)*LN(C42+B42)))</f>
        <v>0.24001011317979468</v>
      </c>
      <c r="G42" s="25">
        <f>$G$18+($G$18/($F$29+(($A$18+A42)/2))-($F$34*($F$29+(($A$18+A42)/2))))*(A42-$A$18)</f>
        <v>0.3013335839974261</v>
      </c>
      <c r="H42" s="20">
        <f>$F$16*($F$12+(D42*$F$13/(D42+$F$13)))/($F$12+(D42*$F$13)/(D42+$F$13)+$F$15)</f>
        <v>0.24292416373748893</v>
      </c>
      <c r="I42" s="8">
        <f>$I$18+($F$25*(A42-$A$18))</f>
        <v>0.42999999999999994</v>
      </c>
    </row>
    <row r="43" spans="2:10" s="4" customFormat="1" ht="12.75">
      <c r="B43" s="27"/>
      <c r="E43"/>
      <c r="G43" s="28" t="s">
        <v>37</v>
      </c>
      <c r="H43" s="29"/>
      <c r="I43" s="2"/>
      <c r="J43" s="27"/>
    </row>
    <row r="44" ht="12.75">
      <c r="G4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</dc:creator>
  <cp:keywords/>
  <dc:description/>
  <cp:lastModifiedBy>Erich Haussermann</cp:lastModifiedBy>
  <dcterms:created xsi:type="dcterms:W3CDTF">2002-10-30T06:35:32Z</dcterms:created>
  <dcterms:modified xsi:type="dcterms:W3CDTF">2012-04-13T20:42:45Z</dcterms:modified>
  <cp:category/>
  <cp:version/>
  <cp:contentType/>
  <cp:contentStatus/>
  <cp:revision>4</cp:revision>
</cp:coreProperties>
</file>