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1">'Sheet1'!$F$18</definedName>
    <definedName name="con2">'Sheet1'!$F$19</definedName>
    <definedName name="con3">'Sheet1'!$F$20</definedName>
    <definedName name="con4">'Sheet1'!$F$21</definedName>
    <definedName name="con5">'Sheet1'!$F$22</definedName>
    <definedName name="con6">'Sheet1'!$F$23</definedName>
    <definedName name="d_T">'Sheet1'!$D$14</definedName>
    <definedName name="err">'Sheet1'!$D$32</definedName>
    <definedName name="h">'Sheet1'!$B$14</definedName>
    <definedName name="len">'Sheet1'!$B$12</definedName>
    <definedName name="P">'Sheet1'!$D$13</definedName>
    <definedName name="Pr">'Sheet1'!$D$15</definedName>
    <definedName name="Pwr">'Sheet1'!$D$13</definedName>
    <definedName name="ra1">'Sheet1'!$B$18</definedName>
    <definedName name="ra2">'Sheet1'!$B$19</definedName>
    <definedName name="ra3">'Sheet1'!$B$20</definedName>
    <definedName name="ra4">'Sheet1'!$B$21</definedName>
    <definedName name="ra5">'Sheet1'!$B$22</definedName>
    <definedName name="ra6">'Sheet1'!$B$23</definedName>
    <definedName name="re1">'Sheet1'!$D$18</definedName>
    <definedName name="re2">'Sheet1'!$D$19</definedName>
    <definedName name="re3">'Sheet1'!$D$20</definedName>
    <definedName name="re4">'Sheet1'!$D$21</definedName>
    <definedName name="re5">'Sheet1'!$D$22</definedName>
    <definedName name="re6">'Sheet1'!$D$23</definedName>
    <definedName name="T_2">'Sheet1'!$D$33</definedName>
    <definedName name="t2_4">'Sheet1'!$C$32</definedName>
    <definedName name="Tamb">'Sheet1'!$D$12</definedName>
    <definedName name="temp1">'Sheet1'!$B$32</definedName>
    <definedName name="temp2">'Sheet1'!$B$33</definedName>
    <definedName name="w">'Sheet1'!$B$13</definedName>
    <definedName name="X_1">'Sheet1'!$F$33</definedName>
    <definedName name="X0">'Sheet1'!$E$33</definedName>
  </definedNames>
  <calcPr fullCalcOnLoad="1"/>
</workbook>
</file>

<file path=xl/sharedStrings.xml><?xml version="1.0" encoding="utf-8"?>
<sst xmlns="http://schemas.openxmlformats.org/spreadsheetml/2006/main" count="129" uniqueCount="55">
  <si>
    <t>Box dimensions</t>
  </si>
  <si>
    <t>Length (mm):</t>
  </si>
  <si>
    <t>Width (mm):</t>
  </si>
  <si>
    <t>Height (mm):</t>
  </si>
  <si>
    <t>Surface 1</t>
  </si>
  <si>
    <t>Surface 2</t>
  </si>
  <si>
    <t>Surface 3</t>
  </si>
  <si>
    <t>Surface 4</t>
  </si>
  <si>
    <t>Surface 5</t>
  </si>
  <si>
    <t>Surface 6</t>
  </si>
  <si>
    <t>Calculation of the surface temperature of an electronic box</t>
  </si>
  <si>
    <t>The box is assumed to be isothermal due to good thermal conductivity and uniform internal heat distribution</t>
  </si>
  <si>
    <t>L</t>
  </si>
  <si>
    <t>A</t>
  </si>
  <si>
    <t>0 -&gt; 1</t>
  </si>
  <si>
    <t>0 or 1</t>
  </si>
  <si>
    <t>Convection</t>
  </si>
  <si>
    <t>X</t>
  </si>
  <si>
    <t>J</t>
  </si>
  <si>
    <t>K</t>
  </si>
  <si>
    <t>T2</t>
  </si>
  <si>
    <t>try:</t>
  </si>
  <si>
    <t>X0</t>
  </si>
  <si>
    <t>X1</t>
  </si>
  <si>
    <t>err</t>
  </si>
  <si>
    <t>d_Pwr</t>
  </si>
  <si>
    <t>Radiation: Emissivity factors</t>
  </si>
  <si>
    <t>ro [g/cm**3]</t>
  </si>
  <si>
    <t>lm_th [W/(m*K)]</t>
  </si>
  <si>
    <t>c [J/(g*K)]</t>
  </si>
  <si>
    <t>silicon</t>
  </si>
  <si>
    <t>solder (Sn-Pb)</t>
  </si>
  <si>
    <t>Material</t>
  </si>
  <si>
    <t>Cu</t>
  </si>
  <si>
    <t>Al</t>
  </si>
  <si>
    <t>Al2O3</t>
  </si>
  <si>
    <t>FR4</t>
  </si>
  <si>
    <t>ht.cond.grease</t>
  </si>
  <si>
    <t>insulating foil</t>
  </si>
  <si>
    <t>0.3mm ins.foil</t>
  </si>
  <si>
    <t>K/W</t>
  </si>
  <si>
    <t>T1:</t>
  </si>
  <si>
    <t>Box Tmpr (deg C)</t>
  </si>
  <si>
    <t>deg C</t>
  </si>
  <si>
    <t>Ext.amb.:</t>
  </si>
  <si>
    <t>W</t>
  </si>
  <si>
    <t>Heat diss.:</t>
  </si>
  <si>
    <t>Pressr.:</t>
  </si>
  <si>
    <t>bar</t>
  </si>
  <si>
    <t>Angle factors</t>
  </si>
  <si>
    <t>Emissivity factors</t>
  </si>
  <si>
    <t>Radiation</t>
  </si>
  <si>
    <t>TO-220</t>
  </si>
  <si>
    <t>Pd (W) v</t>
  </si>
  <si>
    <t>&lt;- F_E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</si>
</sst>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b/>
      <sz val="10.75"/>
      <name val="Arial"/>
      <family val="0"/>
    </font>
    <font>
      <u val="single"/>
      <sz val="8"/>
      <name val="Arial"/>
      <family val="2"/>
    </font>
    <font>
      <sz val="8"/>
      <name val="Arial"/>
      <family val="2"/>
    </font>
    <font>
      <b/>
      <sz val="1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6" fillId="0" borderId="6" xfId="0" applyFont="1" applyBorder="1" applyAlignment="1">
      <alignment/>
    </xf>
    <xf numFmtId="0" fontId="0" fillId="4" borderId="7" xfId="0" applyFill="1" applyBorder="1" applyAlignment="1" applyProtection="1">
      <alignment/>
      <protection locked="0"/>
    </xf>
    <xf numFmtId="0" fontId="6" fillId="0" borderId="7" xfId="0" applyFont="1" applyBorder="1" applyAlignment="1">
      <alignment/>
    </xf>
    <xf numFmtId="0" fontId="0" fillId="4" borderId="8" xfId="0" applyFill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Power dissipation (W)</a:t>
            </a:r>
          </a:p>
        </c:rich>
      </c:tx>
      <c:layout>
        <c:manualLayout>
          <c:xMode val="factor"/>
          <c:yMode val="factor"/>
          <c:x val="0.003"/>
          <c:y val="0.8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"/>
          <c:w val="0.9375"/>
          <c:h val="0.88275"/>
        </c:manualLayout>
      </c:layout>
      <c:scatterChart>
        <c:scatterStyle val="line"/>
        <c:varyColors val="0"/>
        <c:ser>
          <c:idx val="0"/>
          <c:order val="0"/>
          <c:tx>
            <c:v>Fe=0.2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Sheet1!$A$26:$A$31</c:f>
              <c:numCache/>
            </c:numRef>
          </c:xVal>
          <c:yVal>
            <c:numRef>
              <c:f>Sheet1!$B$26:$B$31</c:f>
              <c:numCache/>
            </c:numRef>
          </c:yVal>
          <c:smooth val="0"/>
        </c:ser>
        <c:ser>
          <c:idx val="2"/>
          <c:order val="1"/>
          <c:tx>
            <c:v>Fe=0.4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Sheet1!$A$26:$A$31</c:f>
              <c:numCache/>
            </c:numRef>
          </c:xVal>
          <c:yVal>
            <c:numRef>
              <c:f>Sheet1!$C$26:$C$31</c:f>
              <c:numCache/>
            </c:numRef>
          </c:yVal>
          <c:smooth val="0"/>
        </c:ser>
        <c:ser>
          <c:idx val="3"/>
          <c:order val="2"/>
          <c:tx>
            <c:v>Fe=0.6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Sheet1!$A$26:$A$31</c:f>
              <c:numCache/>
            </c:numRef>
          </c:xVal>
          <c:yVal>
            <c:numRef>
              <c:f>Sheet1!$D$26:$D$31</c:f>
              <c:numCache/>
            </c:numRef>
          </c:yVal>
          <c:smooth val="0"/>
        </c:ser>
        <c:ser>
          <c:idx val="4"/>
          <c:order val="3"/>
          <c:tx>
            <c:v>Fe=0.8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Sheet1!$A$26:$A$31</c:f>
              <c:numCache/>
            </c:numRef>
          </c:xVal>
          <c:yVal>
            <c:numRef>
              <c:f>Sheet1!$E$26:$E$31</c:f>
              <c:numCache/>
            </c:numRef>
          </c:yVal>
          <c:smooth val="0"/>
        </c:ser>
        <c:ser>
          <c:idx val="5"/>
          <c:order val="4"/>
          <c:tx>
            <c:v>T-amb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Sheet1!$A$26:$A$31</c:f>
              <c:numCache/>
            </c:numRef>
          </c:xVal>
          <c:yVal>
            <c:numRef>
              <c:f>Sheet1!$G$26:$G$31</c:f>
              <c:numCache/>
            </c:numRef>
          </c:yVal>
          <c:smooth val="0"/>
        </c:ser>
        <c:axId val="36888298"/>
        <c:axId val="63559227"/>
      </c:scatterChart>
      <c:valAx>
        <c:axId val="368882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 val="autoZero"/>
        <c:crossBetween val="midCat"/>
        <c:dispUnits/>
      </c:valAx>
      <c:valAx>
        <c:axId val="6355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surface Tempr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152400</xdr:rowOff>
    </xdr:from>
    <xdr:to>
      <xdr:col>17</xdr:col>
      <xdr:colOff>342900</xdr:colOff>
      <xdr:row>30</xdr:row>
      <xdr:rowOff>114300</xdr:rowOff>
    </xdr:to>
    <xdr:graphicFrame>
      <xdr:nvGraphicFramePr>
        <xdr:cNvPr id="1" name="Chart 4"/>
        <xdr:cNvGraphicFramePr/>
      </xdr:nvGraphicFramePr>
      <xdr:xfrm>
        <a:off x="2705100" y="314325"/>
        <a:ext cx="6943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323850</xdr:colOff>
      <xdr:row>1</xdr:row>
      <xdr:rowOff>142875</xdr:rowOff>
    </xdr:from>
    <xdr:to>
      <xdr:col>5</xdr:col>
      <xdr:colOff>114300</xdr:colOff>
      <xdr:row>11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04800"/>
          <a:ext cx="14954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 topLeftCell="A1">
      <selection activeCell="O41" sqref="O41"/>
    </sheetView>
  </sheetViews>
  <sheetFormatPr defaultColWidth="9.140625" defaultRowHeight="12.75"/>
  <cols>
    <col min="1" max="1" width="8.7109375" style="0" customWidth="1"/>
    <col min="2" max="2" width="4.8515625" style="0" customWidth="1"/>
    <col min="3" max="3" width="7.57421875" style="0" customWidth="1"/>
    <col min="4" max="4" width="5.00390625" style="0" customWidth="1"/>
    <col min="5" max="5" width="8.140625" style="0" customWidth="1"/>
    <col min="6" max="6" width="4.421875" style="0" customWidth="1"/>
    <col min="7" max="7" width="5.421875" style="0" customWidth="1"/>
    <col min="8" max="8" width="5.28125" style="0" customWidth="1"/>
    <col min="9" max="9" width="7.140625" style="0" customWidth="1"/>
    <col min="10" max="10" width="8.8515625" style="0" customWidth="1"/>
    <col min="11" max="11" width="11.00390625" style="0" customWidth="1"/>
    <col min="12" max="12" width="14.00390625" style="0" customWidth="1"/>
    <col min="13" max="13" width="12.57421875" style="0" customWidth="1"/>
  </cols>
  <sheetData>
    <row r="1" ht="12.75">
      <c r="A1" s="1" t="s">
        <v>10</v>
      </c>
    </row>
    <row r="2" ht="12.75">
      <c r="A2" t="s">
        <v>11</v>
      </c>
    </row>
    <row r="10" s="7" customFormat="1" ht="11.25"/>
    <row r="11" spans="1:5" ht="12.75">
      <c r="A11" s="33" t="s">
        <v>0</v>
      </c>
      <c r="B11" s="20"/>
      <c r="C11" s="20"/>
      <c r="D11" s="20"/>
      <c r="E11" s="21"/>
    </row>
    <row r="12" spans="1:5" ht="12.75">
      <c r="A12" s="26" t="s">
        <v>1</v>
      </c>
      <c r="B12" s="27">
        <v>355</v>
      </c>
      <c r="C12" s="23" t="s">
        <v>44</v>
      </c>
      <c r="D12" s="27">
        <v>70</v>
      </c>
      <c r="E12" s="25" t="s">
        <v>43</v>
      </c>
    </row>
    <row r="13" spans="1:5" ht="12.75">
      <c r="A13" s="26" t="s">
        <v>2</v>
      </c>
      <c r="B13" s="27">
        <v>205</v>
      </c>
      <c r="C13" s="23" t="s">
        <v>46</v>
      </c>
      <c r="D13" s="27">
        <v>5</v>
      </c>
      <c r="E13" s="25" t="s">
        <v>45</v>
      </c>
    </row>
    <row r="14" spans="1:5" ht="12.75">
      <c r="A14" s="26" t="s">
        <v>3</v>
      </c>
      <c r="B14" s="27">
        <v>110</v>
      </c>
      <c r="C14" s="23" t="s">
        <v>25</v>
      </c>
      <c r="D14" s="27">
        <v>5</v>
      </c>
      <c r="E14" s="25" t="s">
        <v>45</v>
      </c>
    </row>
    <row r="15" spans="1:5" ht="12.75">
      <c r="A15" s="14"/>
      <c r="B15" s="15"/>
      <c r="C15" s="31" t="s">
        <v>47</v>
      </c>
      <c r="D15" s="30">
        <v>1</v>
      </c>
      <c r="E15" s="34" t="s">
        <v>48</v>
      </c>
    </row>
    <row r="16" spans="1:6" ht="12.75">
      <c r="A16" s="18" t="s">
        <v>49</v>
      </c>
      <c r="B16" s="19"/>
      <c r="C16" s="35" t="s">
        <v>50</v>
      </c>
      <c r="D16" s="20"/>
      <c r="E16" s="20"/>
      <c r="F16" s="21"/>
    </row>
    <row r="17" spans="1:9" ht="12.75">
      <c r="A17" s="22" t="s">
        <v>51</v>
      </c>
      <c r="B17" s="23" t="s">
        <v>14</v>
      </c>
      <c r="C17" s="24" t="s">
        <v>51</v>
      </c>
      <c r="D17" s="23" t="s">
        <v>15</v>
      </c>
      <c r="E17" s="24" t="s">
        <v>16</v>
      </c>
      <c r="F17" s="25" t="s">
        <v>15</v>
      </c>
      <c r="G17" s="7" t="s">
        <v>17</v>
      </c>
      <c r="H17" t="s">
        <v>12</v>
      </c>
      <c r="I17" t="s">
        <v>13</v>
      </c>
    </row>
    <row r="18" spans="1:9" ht="12.75">
      <c r="A18" s="26" t="s">
        <v>4</v>
      </c>
      <c r="B18" s="27">
        <v>1</v>
      </c>
      <c r="C18" s="23" t="s">
        <v>4</v>
      </c>
      <c r="D18" s="27">
        <v>1</v>
      </c>
      <c r="E18" s="23" t="s">
        <v>4</v>
      </c>
      <c r="F18" s="28">
        <v>1</v>
      </c>
      <c r="G18">
        <f>IF(con1=1,0.27,0)</f>
        <v>0.27</v>
      </c>
      <c r="H18">
        <f>(w*len)/((w+len)*304.8)</f>
        <v>0.42636272028496436</v>
      </c>
      <c r="I18">
        <f>w*len/(304.8*304.8)</f>
        <v>0.78334358057605</v>
      </c>
    </row>
    <row r="19" spans="1:9" ht="12.75">
      <c r="A19" s="26" t="s">
        <v>5</v>
      </c>
      <c r="B19" s="27">
        <v>1</v>
      </c>
      <c r="C19" s="23" t="s">
        <v>5</v>
      </c>
      <c r="D19" s="27">
        <v>1</v>
      </c>
      <c r="E19" s="23" t="s">
        <v>5</v>
      </c>
      <c r="F19" s="28">
        <v>1</v>
      </c>
      <c r="G19">
        <f>IF(con2=1,0.12,0)</f>
        <v>0.12</v>
      </c>
      <c r="H19">
        <f>H18</f>
        <v>0.42636272028496436</v>
      </c>
      <c r="I19">
        <f>I18</f>
        <v>0.78334358057605</v>
      </c>
    </row>
    <row r="20" spans="1:9" ht="12.75">
      <c r="A20" s="26" t="s">
        <v>6</v>
      </c>
      <c r="B20" s="27">
        <v>1</v>
      </c>
      <c r="C20" s="23" t="s">
        <v>6</v>
      </c>
      <c r="D20" s="27">
        <v>1</v>
      </c>
      <c r="E20" s="23" t="s">
        <v>6</v>
      </c>
      <c r="F20" s="28">
        <v>1</v>
      </c>
      <c r="G20">
        <f>IF(con3=1,0.28,0)</f>
        <v>0.28</v>
      </c>
      <c r="H20">
        <f>h/304.8</f>
        <v>0.36089238845144356</v>
      </c>
      <c r="I20">
        <f>h*len/(304.8*304.8)</f>
        <v>0.42033070177251464</v>
      </c>
    </row>
    <row r="21" spans="1:9" ht="12.75">
      <c r="A21" s="26" t="s">
        <v>7</v>
      </c>
      <c r="B21" s="27">
        <v>1</v>
      </c>
      <c r="C21" s="23" t="s">
        <v>7</v>
      </c>
      <c r="D21" s="27">
        <v>1</v>
      </c>
      <c r="E21" s="23" t="s">
        <v>7</v>
      </c>
      <c r="F21" s="28">
        <v>0</v>
      </c>
      <c r="G21">
        <f>IF(con4=1,0.28,0)</f>
        <v>0</v>
      </c>
      <c r="H21">
        <f>h/304.8</f>
        <v>0.36089238845144356</v>
      </c>
      <c r="I21">
        <f>I20</f>
        <v>0.42033070177251464</v>
      </c>
    </row>
    <row r="22" spans="1:9" ht="12.75">
      <c r="A22" s="26" t="s">
        <v>8</v>
      </c>
      <c r="B22" s="27">
        <v>1</v>
      </c>
      <c r="C22" s="23" t="s">
        <v>8</v>
      </c>
      <c r="D22" s="27">
        <v>1</v>
      </c>
      <c r="E22" s="23" t="s">
        <v>8</v>
      </c>
      <c r="F22" s="28">
        <v>1</v>
      </c>
      <c r="G22">
        <f>IF(con5=1,0.28,0)</f>
        <v>0.28</v>
      </c>
      <c r="H22">
        <f>h/304.8</f>
        <v>0.36089238845144356</v>
      </c>
      <c r="I22">
        <f>w*h/(304.8*304.8)</f>
        <v>0.24272617989680423</v>
      </c>
    </row>
    <row r="23" spans="1:9" ht="12.75">
      <c r="A23" s="29" t="s">
        <v>9</v>
      </c>
      <c r="B23" s="30">
        <v>1</v>
      </c>
      <c r="C23" s="31" t="s">
        <v>9</v>
      </c>
      <c r="D23" s="30">
        <v>1</v>
      </c>
      <c r="E23" s="31" t="s">
        <v>9</v>
      </c>
      <c r="F23" s="32">
        <v>1</v>
      </c>
      <c r="G23">
        <f>IF(con6=1,0.28,0)</f>
        <v>0.28</v>
      </c>
      <c r="H23">
        <f>h/304.8</f>
        <v>0.36089238845144356</v>
      </c>
      <c r="I23">
        <f>I22</f>
        <v>0.24272617989680423</v>
      </c>
    </row>
    <row r="24" ht="12.75">
      <c r="B24" s="1" t="s">
        <v>42</v>
      </c>
    </row>
    <row r="25" spans="1:6" ht="12.75">
      <c r="A25" s="1" t="s">
        <v>53</v>
      </c>
      <c r="B25">
        <f>$H$33</f>
        <v>0.2</v>
      </c>
      <c r="C25">
        <f>$H$65</f>
        <v>0.4</v>
      </c>
      <c r="D25">
        <f>$H$95</f>
        <v>0.6</v>
      </c>
      <c r="E25">
        <f>$H$125</f>
        <v>0.8</v>
      </c>
      <c r="F25" s="1" t="s">
        <v>54</v>
      </c>
    </row>
    <row r="26" spans="1:7" ht="12.75">
      <c r="A26">
        <f>P</f>
        <v>5</v>
      </c>
      <c r="B26" s="2">
        <f>($D$37-492)/1.8</f>
        <v>74.43069488779075</v>
      </c>
      <c r="C26" s="2">
        <f>($D$67-492)/1.8</f>
        <v>73.17201682860602</v>
      </c>
      <c r="D26" s="2">
        <f>($D$97-492)/1.8</f>
        <v>72.45510657111569</v>
      </c>
      <c r="E26" s="2">
        <f>($D$127-492)/1.8</f>
        <v>71.9964144595923</v>
      </c>
      <c r="G26">
        <f aca="true" t="shared" si="0" ref="G26:G31">$D$12</f>
        <v>70</v>
      </c>
    </row>
    <row r="27" spans="1:7" ht="12.75">
      <c r="A27">
        <f>A26+d_T</f>
        <v>10</v>
      </c>
      <c r="B27" s="2">
        <f>($D$42-492)/1.8</f>
        <v>78.07862694465743</v>
      </c>
      <c r="C27" s="2">
        <f>($D$72-492)/1.8</f>
        <v>75.93187676306412</v>
      </c>
      <c r="D27" s="2">
        <f>($D$102-492)/1.8</f>
        <v>74.66234300131778</v>
      </c>
      <c r="E27" s="2">
        <f>($D$132-492)/1.8</f>
        <v>73.82983644922187</v>
      </c>
      <c r="G27">
        <f t="shared" si="0"/>
        <v>70</v>
      </c>
    </row>
    <row r="28" spans="1:7" ht="12.75">
      <c r="A28">
        <f>A27+d_T</f>
        <v>15</v>
      </c>
      <c r="B28" s="2">
        <f>($D$47-492)/1.8</f>
        <v>81.43867661304164</v>
      </c>
      <c r="C28" s="2">
        <f>($D$77-492)/1.8</f>
        <v>78.51815530664598</v>
      </c>
      <c r="D28" s="2">
        <f>($D$107-492)/1.8</f>
        <v>76.75610612148368</v>
      </c>
      <c r="E28" s="2">
        <f>($D$137-492)/1.8</f>
        <v>75.5843287852949</v>
      </c>
      <c r="G28">
        <f t="shared" si="0"/>
        <v>70</v>
      </c>
    </row>
    <row r="29" spans="1:7" ht="12.75">
      <c r="A29">
        <f>A28+d_T</f>
        <v>20</v>
      </c>
      <c r="B29" s="2">
        <f>($D$52-492)/1.8</f>
        <v>84.61368109314681</v>
      </c>
      <c r="C29" s="2">
        <f>($D$82-492)/1.8</f>
        <v>80.98685822769431</v>
      </c>
      <c r="D29" s="2">
        <f>($D$112-492)/1.8</f>
        <v>78.770151474739</v>
      </c>
      <c r="E29" s="2">
        <f>($D$142-492)/1.8</f>
        <v>77.28187776116253</v>
      </c>
      <c r="G29">
        <f t="shared" si="0"/>
        <v>70</v>
      </c>
    </row>
    <row r="30" spans="1:7" ht="12.75">
      <c r="A30">
        <f>A29+d_T</f>
        <v>25</v>
      </c>
      <c r="B30" s="2">
        <f>($D$57-492)/1.8</f>
        <v>87.65182453455768</v>
      </c>
      <c r="C30" s="2">
        <f>($D$87-492)/1.8</f>
        <v>83.36542671876171</v>
      </c>
      <c r="D30" s="2">
        <f>($D$117-492)/1.8</f>
        <v>80.72150164482025</v>
      </c>
      <c r="E30" s="2">
        <f>($D$147-492)/1.8</f>
        <v>78.93378187595292</v>
      </c>
      <c r="G30">
        <f t="shared" si="0"/>
        <v>70</v>
      </c>
    </row>
    <row r="31" spans="1:7" ht="12.75">
      <c r="A31">
        <f>A30+d_T</f>
        <v>30</v>
      </c>
      <c r="B31" s="2">
        <f>($D$62-492)/1.8</f>
        <v>90.58121503469901</v>
      </c>
      <c r="C31" s="2">
        <f>($D$92-492)/1.8</f>
        <v>85.67038771595655</v>
      </c>
      <c r="D31" s="2">
        <f>($D$122-492)/1.8</f>
        <v>82.62063161921105</v>
      </c>
      <c r="E31" s="2">
        <f>($D$152-492)/1.8</f>
        <v>80.54709593725508</v>
      </c>
      <c r="G31">
        <f t="shared" si="0"/>
        <v>70</v>
      </c>
    </row>
    <row r="32" spans="1:15" ht="12.75">
      <c r="A32" t="s">
        <v>41</v>
      </c>
      <c r="B32">
        <f>1.8*Tamb+492</f>
        <v>618</v>
      </c>
      <c r="C32">
        <f>temp1*temp1*temp1*temp1</f>
        <v>145865941776</v>
      </c>
      <c r="D32" s="4" t="s">
        <v>20</v>
      </c>
      <c r="E32" t="s">
        <v>22</v>
      </c>
      <c r="F32" t="s">
        <v>23</v>
      </c>
      <c r="G32" t="s">
        <v>24</v>
      </c>
      <c r="H32" s="7" t="s">
        <v>14</v>
      </c>
      <c r="I32" s="7" t="s">
        <v>18</v>
      </c>
      <c r="J32" s="7" t="s">
        <v>19</v>
      </c>
      <c r="K32" s="8" t="s">
        <v>32</v>
      </c>
      <c r="L32" s="9" t="s">
        <v>27</v>
      </c>
      <c r="M32" s="36" t="s">
        <v>28</v>
      </c>
      <c r="N32" s="9" t="s">
        <v>29</v>
      </c>
      <c r="O32" s="10" t="s">
        <v>40</v>
      </c>
    </row>
    <row r="33" spans="1:15" ht="12.75">
      <c r="A33" t="s">
        <v>20</v>
      </c>
      <c r="B33" s="4">
        <v>900</v>
      </c>
      <c r="C33" t="s">
        <v>21</v>
      </c>
      <c r="D33" s="4">
        <f aca="true" t="shared" si="1" ref="D33:D64">B33-G33</f>
        <v>699.5288127111994</v>
      </c>
      <c r="E33" s="4">
        <f>Pr*$I$38*EXP(1.25*LN(temp2-temp1))+($J$38*(temp2*temp2*temp2*temp2-t2_4))-($A$26*3.413)</f>
        <v>1303.9481492122218</v>
      </c>
      <c r="F33" s="4">
        <f>1.25*Pr*$I$38*EXP(0.25*LN(temp2-temp1))+(4*$J$38*temp2*temp2*temp2)</f>
        <v>6.504416753584358</v>
      </c>
      <c r="G33">
        <f aca="true" t="shared" si="2" ref="G33:G62">E33/F33</f>
        <v>200.47118728880054</v>
      </c>
      <c r="H33" s="5">
        <f>re1*0.2</f>
        <v>0.2</v>
      </c>
      <c r="I33">
        <f>$G$18*$I$18/(EXP(0.25*LN($H$18)))</f>
        <v>0.2617406923272558</v>
      </c>
      <c r="J33">
        <f>0.000000001714*$I$18*H33*ra1</f>
        <v>2.6853017942146996E-10</v>
      </c>
      <c r="K33" s="11" t="s">
        <v>30</v>
      </c>
      <c r="L33" s="12">
        <v>2.4</v>
      </c>
      <c r="M33" s="12">
        <v>140</v>
      </c>
      <c r="N33" s="12">
        <v>0.7</v>
      </c>
      <c r="O33" s="13"/>
    </row>
    <row r="34" spans="2:15" ht="12.75">
      <c r="B34">
        <f>D33</f>
        <v>699.5288127111994</v>
      </c>
      <c r="D34">
        <f t="shared" si="1"/>
        <v>637.504701235114</v>
      </c>
      <c r="E34">
        <f>Pr*$I$38*EXP(1.25*LN(B34-temp1))+($J$38*(B34*B34*B34*B34-t2_4))-($A$26*3.413)</f>
        <v>248.52681033568126</v>
      </c>
      <c r="F34">
        <f>1.25*Pr*$I$38*EXP(0.25*LN(B34-temp1))+(4*$J$38*B34*B34*B34)</f>
        <v>4.006938663385856</v>
      </c>
      <c r="G34">
        <f t="shared" si="2"/>
        <v>62.024111476085466</v>
      </c>
      <c r="H34" s="5">
        <f>re2*0.2</f>
        <v>0.2</v>
      </c>
      <c r="I34">
        <f>$G$19*$I$19/(EXP(0.25*LN($H$19)))+I33</f>
        <v>0.3780698889171472</v>
      </c>
      <c r="J34">
        <f>0.000000001714*$I$19*H34*ra2+J33</f>
        <v>5.370603588429399E-10</v>
      </c>
      <c r="K34" s="11" t="s">
        <v>31</v>
      </c>
      <c r="L34" s="12">
        <v>9</v>
      </c>
      <c r="M34" s="12">
        <f>(50+70)/2</f>
        <v>60</v>
      </c>
      <c r="N34" s="12">
        <v>0.2</v>
      </c>
      <c r="O34" s="13"/>
    </row>
    <row r="35" spans="2:15" ht="12.75">
      <c r="B35">
        <f>D34</f>
        <v>637.504701235114</v>
      </c>
      <c r="D35">
        <f t="shared" si="1"/>
        <v>626.7464884797708</v>
      </c>
      <c r="E35">
        <f>Pr*$I$38*EXP(1.25*LN(B35-temp1))+($J$38*(B35*B35*B35*B35-t2_4))-($A$26*3.413)</f>
        <v>30.988332600309874</v>
      </c>
      <c r="F35">
        <f>1.25*Pr*$I$38*EXP(0.25*LN(B35-temp1))+(4*$J$38*B35*B35*B35)</f>
        <v>2.8804350039386692</v>
      </c>
      <c r="G35">
        <f t="shared" si="2"/>
        <v>10.758212755343145</v>
      </c>
      <c r="H35" s="5">
        <f>re3*0.2</f>
        <v>0.2</v>
      </c>
      <c r="I35">
        <f>$G$20*$I$20/(EXP(0.25*LN($H$20)))+I34</f>
        <v>0.5299163635819507</v>
      </c>
      <c r="J35">
        <f>0.000000001714*$I$20*H35*ra3+J34</f>
        <v>6.81149723410558E-10</v>
      </c>
      <c r="K35" s="11" t="s">
        <v>33</v>
      </c>
      <c r="L35" s="12">
        <f>(7.6+8.9)/2</f>
        <v>8.25</v>
      </c>
      <c r="M35" s="12">
        <f>(310+390)/2</f>
        <v>350</v>
      </c>
      <c r="N35" s="12">
        <f>(0.385+0.42)/2</f>
        <v>0.40249999999999997</v>
      </c>
      <c r="O35" s="13"/>
    </row>
    <row r="36" spans="2:15" ht="12.75">
      <c r="B36">
        <f>D35</f>
        <v>626.7464884797708</v>
      </c>
      <c r="D36">
        <f t="shared" si="1"/>
        <v>625.9810966691881</v>
      </c>
      <c r="E36">
        <f>Pr*$I$38*EXP(1.25*LN(B36-temp1))+($J$38*(B36*B36*B36*B36-t2_4))-($A$26*3.413)</f>
        <v>1.9078744453030367</v>
      </c>
      <c r="F36">
        <f>1.25*Pr*$I$38*EXP(0.25*LN(B36-temp1))+(4*$J$38*B36*B36*B36)</f>
        <v>2.4926768472353693</v>
      </c>
      <c r="G36">
        <f t="shared" si="2"/>
        <v>0.7653918105826925</v>
      </c>
      <c r="H36" s="5">
        <f>re4*0.2</f>
        <v>0.2</v>
      </c>
      <c r="I36">
        <f>$G$21*$I$21/(EXP(0.25*LN($H$21)))+I35</f>
        <v>0.5299163635819507</v>
      </c>
      <c r="J36">
        <f>0.000000001714*$I$21*H36*ra4+J35</f>
        <v>8.25239087978176E-10</v>
      </c>
      <c r="K36" s="11" t="s">
        <v>34</v>
      </c>
      <c r="L36" s="12">
        <v>2.7</v>
      </c>
      <c r="M36" s="12">
        <f>(170+230)/2</f>
        <v>200</v>
      </c>
      <c r="N36" s="12">
        <f>(0.9+0.95)/2</f>
        <v>0.925</v>
      </c>
      <c r="O36" s="13"/>
    </row>
    <row r="37" spans="2:15" ht="12.75">
      <c r="B37">
        <f>D36</f>
        <v>625.9810966691881</v>
      </c>
      <c r="D37" s="3">
        <f t="shared" si="1"/>
        <v>625.9752507980234</v>
      </c>
      <c r="E37">
        <f>Pr*$I$38*EXP(1.25*LN(B37-temp1))+($J$38*(B37*B37*B37*B37-t2_4))-($A$26*3.413)</f>
        <v>0.014350371103468262</v>
      </c>
      <c r="F37">
        <f>1.25*Pr*$I$38*EXP(0.25*LN(B37-temp1))+(4*$J$38*B37*B37*B37)</f>
        <v>2.454787438672339</v>
      </c>
      <c r="G37" s="4">
        <f t="shared" si="2"/>
        <v>0.005845871164808305</v>
      </c>
      <c r="H37" s="5">
        <f>re5*0.2</f>
        <v>0.2</v>
      </c>
      <c r="I37">
        <f>$G$22*$I$22/(EXP(0.25*LN($H$22)))+I36</f>
        <v>0.6176023559940204</v>
      </c>
      <c r="J37">
        <f>0.000000001714*$I$22*H37*ra5+J36</f>
        <v>9.084456224468005E-10</v>
      </c>
      <c r="K37" s="11" t="s">
        <v>35</v>
      </c>
      <c r="L37" s="12">
        <v>3.8</v>
      </c>
      <c r="M37" s="12">
        <v>24</v>
      </c>
      <c r="N37" s="12">
        <v>0.8</v>
      </c>
      <c r="O37" s="13"/>
    </row>
    <row r="38" spans="1:15" ht="12.75">
      <c r="A38" t="s">
        <v>20</v>
      </c>
      <c r="B38" s="4">
        <f>temp2</f>
        <v>900</v>
      </c>
      <c r="C38" t="s">
        <v>21</v>
      </c>
      <c r="D38" s="4">
        <f t="shared" si="1"/>
        <v>702.1524145876623</v>
      </c>
      <c r="E38" s="4">
        <f>Pr*$I$38*EXP(1.25*LN(B38-temp1))+($J$38*(B38*B38*B38*B38-t2_4))-($A$27*3.413)</f>
        <v>1286.8831492122217</v>
      </c>
      <c r="F38" s="4">
        <f>1.25*Pr*$I$38*EXP(0.25*LN(temp2-temp1))+(4*$J$38*temp2*temp2*temp2)</f>
        <v>6.504416753584358</v>
      </c>
      <c r="G38">
        <f t="shared" si="2"/>
        <v>197.84758541233774</v>
      </c>
      <c r="H38" s="5">
        <f>re6*0.2</f>
        <v>0.2</v>
      </c>
      <c r="I38" s="3">
        <f>$G$23*$I$23/(EXP(0.25*LN($H$23)))+I37</f>
        <v>0.70528834840609</v>
      </c>
      <c r="J38" s="3">
        <f>0.000000001714*$I$23*H38*ra6+J37</f>
        <v>9.91652156915425E-10</v>
      </c>
      <c r="K38" s="11" t="s">
        <v>36</v>
      </c>
      <c r="L38" s="12"/>
      <c r="M38" s="12">
        <v>0.3</v>
      </c>
      <c r="N38" s="12"/>
      <c r="O38" s="13"/>
    </row>
    <row r="39" spans="2:15" ht="12.75">
      <c r="B39">
        <f>D38</f>
        <v>702.1524145876623</v>
      </c>
      <c r="D39">
        <f t="shared" si="1"/>
        <v>642.2953043203811</v>
      </c>
      <c r="E39" s="4">
        <f>Pr*$I$38*EXP(1.25*LN(B39-temp1))+($J$38*(B39*B39*B39*B39-t2_4))-($A$27*3.413)</f>
        <v>242.02224896232644</v>
      </c>
      <c r="F39">
        <f>1.25*Pr*$I$38*EXP(0.25*LN(B39-temp1))+(4*$J$38*B39*B39*B39)</f>
        <v>4.043333329684969</v>
      </c>
      <c r="G39">
        <f t="shared" si="2"/>
        <v>59.85711026728121</v>
      </c>
      <c r="H39" s="17"/>
      <c r="K39" s="11" t="s">
        <v>37</v>
      </c>
      <c r="L39" s="12"/>
      <c r="M39" s="12">
        <f>(0.4+2.6)/2</f>
        <v>1.5</v>
      </c>
      <c r="N39" s="12"/>
      <c r="O39" s="13"/>
    </row>
    <row r="40" spans="2:15" ht="12.75">
      <c r="B40">
        <f>D39</f>
        <v>642.2953043203811</v>
      </c>
      <c r="D40">
        <f t="shared" si="1"/>
        <v>632.9760832490341</v>
      </c>
      <c r="E40" s="4">
        <f>Pr*$I$38*EXP(1.25*LN(B40-temp1))+($J$38*(B40*B40*B40*B40-t2_4))-($A$27*3.413)</f>
        <v>28.035479897571292</v>
      </c>
      <c r="F40">
        <f>1.25*Pr*$I$38*EXP(0.25*LN(B40-temp1))+(4*$J$38*B40*B40*B40)</f>
        <v>3.008350127433905</v>
      </c>
      <c r="G40">
        <f t="shared" si="2"/>
        <v>9.319221071346938</v>
      </c>
      <c r="K40" s="11" t="s">
        <v>38</v>
      </c>
      <c r="L40" s="12"/>
      <c r="M40" s="12">
        <f>(0.9+2.7)/2</f>
        <v>1.8</v>
      </c>
      <c r="N40" s="12"/>
      <c r="O40" s="13"/>
    </row>
    <row r="41" spans="2:15" ht="12.75">
      <c r="B41">
        <f>D40</f>
        <v>632.9760832490341</v>
      </c>
      <c r="D41">
        <f t="shared" si="1"/>
        <v>632.5426975728782</v>
      </c>
      <c r="E41" s="4">
        <f>Pr*$I$38*EXP(1.25*LN(B41-temp1))+($J$38*(B41*B41*B41*B41-t2_4))-($A$27*3.413)</f>
        <v>1.1875935413991954</v>
      </c>
      <c r="F41">
        <f>1.25*Pr*$I$38*EXP(0.25*LN(B41-temp1))+(4*$J$38*B41*B41*B41)</f>
        <v>2.740269479907689</v>
      </c>
      <c r="G41">
        <f t="shared" si="2"/>
        <v>0.4333856761559091</v>
      </c>
      <c r="K41" s="11" t="s">
        <v>39</v>
      </c>
      <c r="L41" s="12"/>
      <c r="M41" s="12"/>
      <c r="N41" s="12"/>
      <c r="O41" s="13">
        <v>25</v>
      </c>
    </row>
    <row r="42" spans="2:15" ht="12.75">
      <c r="B42">
        <f>D41</f>
        <v>632.5426975728782</v>
      </c>
      <c r="D42" s="3">
        <f t="shared" si="1"/>
        <v>632.5415285003834</v>
      </c>
      <c r="E42" s="4">
        <f>Pr*$I$38*EXP(1.25*LN(B42-temp1))+($J$38*(B42*B42*B42*B42-t2_4))-($A$27*3.413)</f>
        <v>0.0031863293296510165</v>
      </c>
      <c r="F42">
        <f>1.25*Pr*$I$38*EXP(0.25*LN(B42-temp1))+(4*$J$38*B42*B42*B42)</f>
        <v>2.725519028019837</v>
      </c>
      <c r="G42" s="4">
        <f t="shared" si="2"/>
        <v>0.001169072494777617</v>
      </c>
      <c r="K42" s="11" t="s">
        <v>52</v>
      </c>
      <c r="L42" s="12"/>
      <c r="M42" s="12"/>
      <c r="N42" s="12"/>
      <c r="O42" s="13">
        <v>63</v>
      </c>
    </row>
    <row r="43" spans="1:15" ht="12.75">
      <c r="A43" t="s">
        <v>20</v>
      </c>
      <c r="B43" s="4">
        <f>temp2</f>
        <v>900</v>
      </c>
      <c r="C43" t="s">
        <v>21</v>
      </c>
      <c r="D43" s="4">
        <f t="shared" si="1"/>
        <v>704.7760164641251</v>
      </c>
      <c r="E43" s="4">
        <f>Pr*$I$38*EXP(1.25*LN(B43-temp1))+($J$38*(B43*B43*B43*B43-t2_4))-($A$28*3.413)</f>
        <v>1269.818149212222</v>
      </c>
      <c r="F43" s="4">
        <f>1.25*Pr*$I$38*EXP(0.25*LN(temp2-temp1))+(4*$J$38*temp2*temp2*temp2)</f>
        <v>6.504416753584358</v>
      </c>
      <c r="G43">
        <f t="shared" si="2"/>
        <v>195.22398353587496</v>
      </c>
      <c r="K43" s="11"/>
      <c r="L43" s="12"/>
      <c r="M43" s="12"/>
      <c r="N43" s="12"/>
      <c r="O43" s="13"/>
    </row>
    <row r="44" spans="2:15" ht="12.75">
      <c r="B44">
        <f>D43</f>
        <v>704.7760164641251</v>
      </c>
      <c r="D44">
        <f t="shared" si="1"/>
        <v>647.0186969480028</v>
      </c>
      <c r="E44" s="4">
        <f>Pr*$I$38*EXP(1.25*LN(B44-temp1))+($J$38*(B44*B44*B44*B44-t2_4))-($A$28*3.413)</f>
        <v>235.61267906977173</v>
      </c>
      <c r="F44">
        <f>1.25*Pr*$I$38*EXP(0.25*LN(B44-temp1))+(4*$J$38*B44*B44*B44)</f>
        <v>4.079356193183506</v>
      </c>
      <c r="G44">
        <f t="shared" si="2"/>
        <v>57.75731951612221</v>
      </c>
      <c r="K44" s="11"/>
      <c r="L44" s="12"/>
      <c r="M44" s="12"/>
      <c r="N44" s="12"/>
      <c r="O44" s="13"/>
    </row>
    <row r="45" spans="2:15" ht="12.75">
      <c r="B45">
        <f>D44</f>
        <v>647.0186969480028</v>
      </c>
      <c r="D45">
        <f t="shared" si="1"/>
        <v>638.8633038222018</v>
      </c>
      <c r="E45" s="4">
        <f>Pr*$I$38*EXP(1.25*LN(B45-temp1))+($J$38*(B45*B45*B45*B45-t2_4))-($A$28*3.413)</f>
        <v>25.449725065703937</v>
      </c>
      <c r="F45">
        <f>1.25*Pr*$I$38*EXP(0.25*LN(B45-temp1))+(4*$J$38*B45*B45*B45)</f>
        <v>3.120600647096874</v>
      </c>
      <c r="G45">
        <f t="shared" si="2"/>
        <v>8.15539312580098</v>
      </c>
      <c r="K45" s="11"/>
      <c r="L45" s="12"/>
      <c r="M45" s="12"/>
      <c r="N45" s="12"/>
      <c r="O45" s="13"/>
    </row>
    <row r="46" spans="2:15" ht="12.75">
      <c r="B46">
        <f>D45</f>
        <v>638.8633038222018</v>
      </c>
      <c r="D46">
        <f t="shared" si="1"/>
        <v>638.5899709012126</v>
      </c>
      <c r="E46" s="4">
        <f>Pr*$I$38*EXP(1.25*LN(B46-temp1))+($J$38*(B46*B46*B46*B46-t2_4))-($A$28*3.413)</f>
        <v>0.7977146093563263</v>
      </c>
      <c r="F46">
        <f>1.25*Pr*$I$38*EXP(0.25*LN(B46-temp1))+(4*$J$38*B46*B46*B46)</f>
        <v>2.9184724857481634</v>
      </c>
      <c r="G46">
        <f t="shared" si="2"/>
        <v>0.27333292098925804</v>
      </c>
      <c r="K46" s="11"/>
      <c r="L46" s="12"/>
      <c r="M46" s="12"/>
      <c r="N46" s="12"/>
      <c r="O46" s="13"/>
    </row>
    <row r="47" spans="2:15" ht="12.75">
      <c r="B47">
        <f>D46</f>
        <v>638.5899709012126</v>
      </c>
      <c r="D47" s="3">
        <f t="shared" si="1"/>
        <v>638.589617903475</v>
      </c>
      <c r="E47" s="4">
        <f>Pr*$I$38*EXP(1.25*LN(B47-temp1))+($J$38*(B47*B47*B47*B47-t2_4))-($A$28*3.413)</f>
        <v>0.0010275565523514274</v>
      </c>
      <c r="F47">
        <f>1.25*Pr*$I$38*EXP(0.25*LN(B47-temp1))+(4*$J$38*B47*B47*B47)</f>
        <v>2.9109437338381654</v>
      </c>
      <c r="G47" s="4">
        <f t="shared" si="2"/>
        <v>0.0003529977376088145</v>
      </c>
      <c r="K47" s="11"/>
      <c r="L47" s="12"/>
      <c r="M47" s="12"/>
      <c r="N47" s="12"/>
      <c r="O47" s="13"/>
    </row>
    <row r="48" spans="1:15" ht="12.75">
      <c r="A48" t="s">
        <v>20</v>
      </c>
      <c r="B48" s="4">
        <f>temp2</f>
        <v>900</v>
      </c>
      <c r="C48" t="s">
        <v>21</v>
      </c>
      <c r="D48" s="4">
        <f t="shared" si="1"/>
        <v>707.3996183405878</v>
      </c>
      <c r="E48" s="4">
        <f>Pr*$I$38*EXP(1.25*LN(B48-temp1))+($J$38*(B48*B48*B48*B48-t2_4))-($A$29*3.413)</f>
        <v>1252.7531492122218</v>
      </c>
      <c r="F48" s="4">
        <f>1.25*Pr*$I$38*EXP(0.25*LN(temp2-temp1))+(4*$J$38*temp2*temp2*temp2)</f>
        <v>6.504416753584358</v>
      </c>
      <c r="G48">
        <f t="shared" si="2"/>
        <v>192.60038165941216</v>
      </c>
      <c r="K48" s="11"/>
      <c r="L48" s="12"/>
      <c r="M48" s="12"/>
      <c r="N48" s="12"/>
      <c r="O48" s="13"/>
    </row>
    <row r="49" spans="2:15" ht="12.75">
      <c r="B49">
        <f>D48</f>
        <v>707.3996183405878</v>
      </c>
      <c r="D49">
        <f t="shared" si="1"/>
        <v>651.6777928406615</v>
      </c>
      <c r="E49" s="4">
        <f>Pr*$I$38*EXP(1.25*LN(B49-temp1))+($J$38*(B49*B49*B49*B49-t2_4))-($A$29*3.413)</f>
        <v>229.2971596492186</v>
      </c>
      <c r="F49">
        <f>1.25*Pr*$I$38*EXP(0.25*LN(B49-temp1))+(4*$J$38*B49*B49*B49)</f>
        <v>4.115033159664192</v>
      </c>
      <c r="G49">
        <f t="shared" si="2"/>
        <v>55.72182549992634</v>
      </c>
      <c r="K49" s="11"/>
      <c r="L49" s="12"/>
      <c r="M49" s="12"/>
      <c r="N49" s="12"/>
      <c r="O49" s="13"/>
    </row>
    <row r="50" spans="2:15" ht="12.75">
      <c r="B50">
        <f>D49</f>
        <v>651.6777928406615</v>
      </c>
      <c r="D50">
        <f t="shared" si="1"/>
        <v>644.488040844637</v>
      </c>
      <c r="E50" s="4">
        <f>Pr*$I$38*EXP(1.25*LN(B50-temp1))+($J$38*(B50*B50*B50*B50-t2_4))-($A$29*3.413)</f>
        <v>23.162377412896078</v>
      </c>
      <c r="F50">
        <f>1.25*Pr*$I$38*EXP(0.25*LN(B50-temp1))+(4*$J$38*B50*B50*B50)</f>
        <v>3.2215822500836704</v>
      </c>
      <c r="G50">
        <f t="shared" si="2"/>
        <v>7.189751996024472</v>
      </c>
      <c r="K50" s="11"/>
      <c r="L50" s="12"/>
      <c r="M50" s="12"/>
      <c r="N50" s="12"/>
      <c r="O50" s="13"/>
    </row>
    <row r="51" spans="2:15" ht="12.75">
      <c r="B51">
        <f>D50</f>
        <v>644.488040844637</v>
      </c>
      <c r="D51">
        <f t="shared" si="1"/>
        <v>644.3047569954891</v>
      </c>
      <c r="E51" s="4">
        <f>Pr*$I$38*EXP(1.25*LN(B51-temp1))+($J$38*(B51*B51*B51*B51-t2_4))-($A$29*3.413)</f>
        <v>0.5611957519248705</v>
      </c>
      <c r="F51">
        <f>1.25*Pr*$I$38*EXP(0.25*LN(B51-temp1))+(4*$J$38*B51*B51*B51)</f>
        <v>3.061894185080141</v>
      </c>
      <c r="G51">
        <f t="shared" si="2"/>
        <v>0.18328384914783785</v>
      </c>
      <c r="K51" s="11"/>
      <c r="L51" s="12"/>
      <c r="M51" s="12"/>
      <c r="N51" s="12"/>
      <c r="O51" s="13"/>
    </row>
    <row r="52" spans="2:15" ht="12.75">
      <c r="B52">
        <f>D51</f>
        <v>644.3047569954891</v>
      </c>
      <c r="D52" s="3">
        <f t="shared" si="1"/>
        <v>644.3046259676643</v>
      </c>
      <c r="E52" s="4">
        <f>Pr*$I$38*EXP(1.25*LN(B52-temp1))+($J$38*(B52*B52*B52*B52-t2_4))-($A$29*3.413)</f>
        <v>0.00040062015295916353</v>
      </c>
      <c r="F52">
        <f>1.25*Pr*$I$38*EXP(0.25*LN(B52-temp1))+(4*$J$38*B52*B52*B52)</f>
        <v>3.0575196785780587</v>
      </c>
      <c r="G52" s="4">
        <f t="shared" si="2"/>
        <v>0.0001310278248627585</v>
      </c>
      <c r="K52" s="11"/>
      <c r="L52" s="12"/>
      <c r="M52" s="12"/>
      <c r="N52" s="12"/>
      <c r="O52" s="13"/>
    </row>
    <row r="53" spans="1:15" ht="12.75">
      <c r="A53" t="s">
        <v>20</v>
      </c>
      <c r="B53" s="4">
        <f>temp2</f>
        <v>900</v>
      </c>
      <c r="C53" t="s">
        <v>21</v>
      </c>
      <c r="D53" s="4">
        <f t="shared" si="1"/>
        <v>710.0232202170507</v>
      </c>
      <c r="E53" s="4">
        <f>Pr*$I$38*EXP(1.25*LN(B53-temp1))+($J$38*(B53*B53*B53*B53-t2_4))-($A$30*3.413)</f>
        <v>1235.6881492122218</v>
      </c>
      <c r="F53" s="4">
        <f>1.25*Pr*$I$38*EXP(0.25*LN(temp2-temp1))+(4*$J$38*temp2*temp2*temp2)</f>
        <v>6.504416753584358</v>
      </c>
      <c r="G53">
        <f t="shared" si="2"/>
        <v>189.97677978294934</v>
      </c>
      <c r="K53" s="11"/>
      <c r="L53" s="12"/>
      <c r="M53" s="12"/>
      <c r="N53" s="12"/>
      <c r="O53" s="13"/>
    </row>
    <row r="54" spans="2:15" ht="12.75">
      <c r="B54">
        <f>D53</f>
        <v>710.0232202170507</v>
      </c>
      <c r="D54">
        <f t="shared" si="1"/>
        <v>656.2752791731475</v>
      </c>
      <c r="E54" s="4">
        <f>Pr*$I$38*EXP(1.25*LN(B54-temp1))+($J$38*(B54*B54*B54*B54-t2_4))-($A$30*3.413)</f>
        <v>223.07481493921216</v>
      </c>
      <c r="F54">
        <f>1.25*Pr*$I$38*EXP(0.25*LN(B54-temp1))+(4*$J$38*B54*B54*B54)</f>
        <v>4.150388100578525</v>
      </c>
      <c r="G54">
        <f t="shared" si="2"/>
        <v>53.74794104390325</v>
      </c>
      <c r="K54" s="11"/>
      <c r="L54" s="12"/>
      <c r="M54" s="12"/>
      <c r="N54" s="12"/>
      <c r="O54" s="13"/>
    </row>
    <row r="55" spans="2:15" ht="12.75">
      <c r="B55">
        <f>D54</f>
        <v>656.2752791731475</v>
      </c>
      <c r="D55">
        <f t="shared" si="1"/>
        <v>649.9013132032902</v>
      </c>
      <c r="E55" s="4">
        <f>Pr*$I$38*EXP(1.25*LN(B55-temp1))+($J$38*(B55*B55*B55*B55-t2_4))-($A$30*3.413)</f>
        <v>21.123465724136565</v>
      </c>
      <c r="F55">
        <f>1.25*Pr*$I$38*EXP(0.25*LN(B55-temp1))+(4*$J$38*B55*B55*B55)</f>
        <v>3.314022356572032</v>
      </c>
      <c r="G55">
        <f t="shared" si="2"/>
        <v>6.373965969857342</v>
      </c>
      <c r="K55" s="11"/>
      <c r="L55" s="12"/>
      <c r="M55" s="12"/>
      <c r="N55" s="12"/>
      <c r="O55" s="13"/>
    </row>
    <row r="56" spans="2:15" ht="12.75">
      <c r="B56">
        <f>D55</f>
        <v>649.9013132032902</v>
      </c>
      <c r="D56">
        <f t="shared" si="1"/>
        <v>649.7733394039295</v>
      </c>
      <c r="E56" s="4">
        <f>Pr*$I$38*EXP(1.25*LN(B56-temp1))+($J$38*(B56*B56*B56*B56-t2_4))-($A$30*3.413)</f>
        <v>0.4074749882209687</v>
      </c>
      <c r="F56">
        <f>1.25*Pr*$I$38*EXP(0.25*LN(B56-temp1))+(4*$J$38*B56*B56*B56)</f>
        <v>3.1840500966339134</v>
      </c>
      <c r="G56">
        <f t="shared" si="2"/>
        <v>0.12797379936067577</v>
      </c>
      <c r="K56" s="11"/>
      <c r="L56" s="12"/>
      <c r="M56" s="12"/>
      <c r="N56" s="12"/>
      <c r="O56" s="13"/>
    </row>
    <row r="57" spans="2:15" ht="12.75">
      <c r="B57">
        <f>D56</f>
        <v>649.7733394039295</v>
      </c>
      <c r="D57" s="3">
        <f t="shared" si="1"/>
        <v>649.7732841622038</v>
      </c>
      <c r="E57" s="4">
        <f>Pr*$I$38*EXP(1.25*LN(B57-temp1))+($J$38*(B57*B57*B57*B57-t2_4))-($A$30*3.413)</f>
        <v>0.00017574064412428925</v>
      </c>
      <c r="F57">
        <f>1.25*Pr*$I$38*EXP(0.25*LN(B57-temp1))+(4*$J$38*B57*B57*B57)</f>
        <v>3.181302571715677</v>
      </c>
      <c r="G57" s="4">
        <f t="shared" si="2"/>
        <v>5.524172572793423E-05</v>
      </c>
      <c r="K57" s="11"/>
      <c r="L57" s="12"/>
      <c r="M57" s="12"/>
      <c r="N57" s="12"/>
      <c r="O57" s="13"/>
    </row>
    <row r="58" spans="1:15" ht="12.75">
      <c r="A58" t="s">
        <v>20</v>
      </c>
      <c r="B58" s="4">
        <f>temp2</f>
        <v>900</v>
      </c>
      <c r="C58" t="s">
        <v>21</v>
      </c>
      <c r="D58" s="4">
        <f t="shared" si="1"/>
        <v>712.6468220935135</v>
      </c>
      <c r="E58" s="4">
        <f>Pr*$I$38*EXP(1.25*LN(B58-temp1))+($J$38*(B58*B58*B58*B58-t2_4))-($A$31*3.413)</f>
        <v>1218.6231492122217</v>
      </c>
      <c r="F58" s="4">
        <f>1.25*Pr*$I$38*EXP(0.25*LN(temp2-temp1))+(4*$J$38*temp2*temp2*temp2)</f>
        <v>6.504416753584358</v>
      </c>
      <c r="G58">
        <f t="shared" si="2"/>
        <v>187.35317790648654</v>
      </c>
      <c r="K58" s="11"/>
      <c r="L58" s="12"/>
      <c r="M58" s="12"/>
      <c r="N58" s="12"/>
      <c r="O58" s="13"/>
    </row>
    <row r="59" spans="2:15" ht="12.75">
      <c r="B59">
        <f>D58</f>
        <v>712.6468220935135</v>
      </c>
      <c r="D59">
        <f t="shared" si="1"/>
        <v>660.8136407945351</v>
      </c>
      <c r="E59" s="4">
        <f>Pr*$I$38*EXP(1.25*LN(B59-temp1))+($J$38*(B59*B59*B59*B59-t2_4))-($A$31*3.413)</f>
        <v>216.94482937744453</v>
      </c>
      <c r="F59">
        <f>1.25*Pr*$I$38*EXP(0.25*LN(B59-temp1))+(4*$J$38*B59*B59*B59)</f>
        <v>4.18544306833276</v>
      </c>
      <c r="G59">
        <f t="shared" si="2"/>
        <v>51.83318129897843</v>
      </c>
      <c r="K59" s="11"/>
      <c r="L59" s="12"/>
      <c r="M59" s="12"/>
      <c r="N59" s="12"/>
      <c r="O59" s="13"/>
    </row>
    <row r="60" spans="2:15" ht="12.75">
      <c r="B60">
        <f>D59</f>
        <v>660.8136407945351</v>
      </c>
      <c r="D60">
        <f t="shared" si="1"/>
        <v>655.138188400039</v>
      </c>
      <c r="E60" s="4">
        <f>Pr*$I$38*EXP(1.25*LN(B60-temp1))+($J$38*(B60*B60*B60*B60-t2_4))-($A$31*3.413)</f>
        <v>19.295064828200523</v>
      </c>
      <c r="F60">
        <f>1.25*Pr*$I$38*EXP(0.25*LN(B60-temp1))+(4*$J$38*B60*B60*B60)</f>
        <v>3.3997404060533016</v>
      </c>
      <c r="G60">
        <f t="shared" si="2"/>
        <v>5.6754523944961495</v>
      </c>
      <c r="K60" s="11"/>
      <c r="L60" s="12"/>
      <c r="M60" s="12"/>
      <c r="N60" s="12"/>
      <c r="O60" s="13"/>
    </row>
    <row r="61" spans="2:15" ht="12.75">
      <c r="B61">
        <f>D60</f>
        <v>655.138188400039</v>
      </c>
      <c r="D61">
        <f t="shared" si="1"/>
        <v>655.0462124759432</v>
      </c>
      <c r="E61" s="4">
        <f>Pr*$I$38*EXP(1.25*LN(B61-temp1))+($J$38*(B61*B61*B61*B61-t2_4))-($A$31*3.413)</f>
        <v>0.3027602426326297</v>
      </c>
      <c r="F61">
        <f>1.25*Pr*$I$38*EXP(0.25*LN(B61-temp1))+(4*$J$38*B61*B61*B61)</f>
        <v>3.2917336314812653</v>
      </c>
      <c r="G61">
        <f t="shared" si="2"/>
        <v>0.09197592409577471</v>
      </c>
      <c r="K61" s="11"/>
      <c r="L61" s="12"/>
      <c r="M61" s="12"/>
      <c r="N61" s="12"/>
      <c r="O61" s="13"/>
    </row>
    <row r="62" spans="2:15" ht="12.75">
      <c r="B62">
        <f>D61</f>
        <v>655.0462124759432</v>
      </c>
      <c r="D62" s="3">
        <f t="shared" si="1"/>
        <v>655.0461870624582</v>
      </c>
      <c r="E62" s="4">
        <f>Pr*$I$38*EXP(1.25*LN(B62-temp1))+($J$38*(B62*B62*B62*B62-t2_4))-($A$31*3.413)</f>
        <v>8.360821028929877E-05</v>
      </c>
      <c r="F62">
        <f>1.25*Pr*$I$38*EXP(0.25*LN(B62-temp1))+(4*$J$38*B62*B62*B62)</f>
        <v>3.2899151898507046</v>
      </c>
      <c r="G62" s="4">
        <f t="shared" si="2"/>
        <v>2.5413484988071346E-05</v>
      </c>
      <c r="K62" s="14"/>
      <c r="L62" s="15"/>
      <c r="M62" s="15"/>
      <c r="N62" s="15"/>
      <c r="O62" s="16"/>
    </row>
    <row r="63" spans="1:8" ht="12.75">
      <c r="A63" t="s">
        <v>20</v>
      </c>
      <c r="B63" s="4">
        <f>temp2</f>
        <v>900</v>
      </c>
      <c r="C63" t="s">
        <v>21</v>
      </c>
      <c r="D63" s="4">
        <f t="shared" si="1"/>
        <v>707.3745728035076</v>
      </c>
      <c r="E63" s="4">
        <f>Pr*$I$70*EXP(1.25*LN(B63-temp1))+($J$70*(B63*B63*B63*B63-t2_4))-($A$26*3.413)</f>
        <v>1809.922853581762</v>
      </c>
      <c r="F63" s="4">
        <f>1.25*Pr*$I$70*EXP(0.25*LN(B63-temp1))+(4*$J$70*B63*B63*B63)</f>
        <v>9.396074443149736</v>
      </c>
      <c r="G63">
        <f aca="true" t="shared" si="3" ref="G63:G82">E63/F63</f>
        <v>192.62542719649235</v>
      </c>
      <c r="H63" s="6" t="s">
        <v>26</v>
      </c>
    </row>
    <row r="64" spans="2:10" ht="12.75">
      <c r="B64">
        <f>D63</f>
        <v>707.3745728035076</v>
      </c>
      <c r="D64">
        <f t="shared" si="1"/>
        <v>637.7875489676367</v>
      </c>
      <c r="E64" s="4">
        <f>Pr*$I$70*EXP(1.25*LN(B64-temp1))+($J$70*(B64*B64*B64*B64-t2_4))-($A$26*3.413)</f>
        <v>384.0296306073097</v>
      </c>
      <c r="F64" s="4">
        <f aca="true" t="shared" si="4" ref="F64:F92">1.25*Pr*$I$70*EXP(0.25*LN(B64-temp1))+(4*$J$70*B64*B64*B64)</f>
        <v>5.518696007363211</v>
      </c>
      <c r="G64">
        <f t="shared" si="3"/>
        <v>69.58702383587097</v>
      </c>
      <c r="H64" s="7" t="s">
        <v>14</v>
      </c>
      <c r="I64" s="7" t="s">
        <v>18</v>
      </c>
      <c r="J64" s="7" t="s">
        <v>19</v>
      </c>
    </row>
    <row r="65" spans="2:10" ht="12.75">
      <c r="B65">
        <f>D64</f>
        <v>637.7875489676367</v>
      </c>
      <c r="D65">
        <f aca="true" t="shared" si="5" ref="D65:D96">B65-G65</f>
        <v>624.7082627341464</v>
      </c>
      <c r="E65" s="4">
        <f>Pr*$I$70*EXP(1.25*LN(B65-temp1))+($J$70*(B65*B65*B65*B65-t2_4))-($A$26*3.413)</f>
        <v>51.23889088562507</v>
      </c>
      <c r="F65" s="4">
        <f t="shared" si="4"/>
        <v>3.917560176519786</v>
      </c>
      <c r="G65">
        <f t="shared" si="3"/>
        <v>13.0792862334903</v>
      </c>
      <c r="H65" s="5">
        <f>re1*0.4</f>
        <v>0.4</v>
      </c>
      <c r="I65">
        <f>$G$18*$I$18/(EXP(0.25*LN($H$18)))</f>
        <v>0.2617406923272558</v>
      </c>
      <c r="J65">
        <f>0.000000001714*$I$18*H65*ra1</f>
        <v>5.370603588429399E-10</v>
      </c>
    </row>
    <row r="66" spans="2:10" ht="12.75">
      <c r="B66">
        <f>D65</f>
        <v>624.7082627341464</v>
      </c>
      <c r="D66">
        <f t="shared" si="5"/>
        <v>623.7191860829221</v>
      </c>
      <c r="E66" s="4">
        <f>Pr*$I$70*EXP(1.25*LN(B66-temp1))+($J$70*(B66*B66*B66*B66-t2_4))-($A$26*3.413)</f>
        <v>3.316310716319748</v>
      </c>
      <c r="F66" s="4">
        <f t="shared" si="4"/>
        <v>3.3529360057328432</v>
      </c>
      <c r="G66">
        <f t="shared" si="3"/>
        <v>0.989076651224338</v>
      </c>
      <c r="H66" s="5">
        <f>re2*0.4</f>
        <v>0.4</v>
      </c>
      <c r="I66">
        <f>$G$19*$I$19/(EXP(0.25*LN($H$19)))+I65</f>
        <v>0.3780698889171472</v>
      </c>
      <c r="J66">
        <f>0.000000001714*$I$19*H66*ra2+J65</f>
        <v>1.0741207176858798E-09</v>
      </c>
    </row>
    <row r="67" spans="2:10" ht="12.75">
      <c r="B67">
        <f>D66</f>
        <v>623.7191860829221</v>
      </c>
      <c r="D67" s="3">
        <f t="shared" si="5"/>
        <v>623.7096302914908</v>
      </c>
      <c r="E67" s="4">
        <f>Pr*$I$70*EXP(1.25*LN(B67-temp1))+($J$70*(B67*B67*B67*B67-t2_4))-($A$26*3.413)</f>
        <v>0.03142227807209608</v>
      </c>
      <c r="F67" s="4">
        <f t="shared" si="4"/>
        <v>3.2882967672712575</v>
      </c>
      <c r="G67" s="4">
        <f t="shared" si="3"/>
        <v>0.009555791431249488</v>
      </c>
      <c r="H67" s="5">
        <f>re3*0.4</f>
        <v>0.4</v>
      </c>
      <c r="I67">
        <f>$G$20*$I$20/(EXP(0.25*LN($H$20)))+I66</f>
        <v>0.5299163635819507</v>
      </c>
      <c r="J67">
        <f>0.000000001714*$I$20*H67*ra3+J66</f>
        <v>1.362299446821116E-09</v>
      </c>
    </row>
    <row r="68" spans="1:10" ht="12.75">
      <c r="A68" t="s">
        <v>20</v>
      </c>
      <c r="B68" s="4">
        <f>temp2</f>
        <v>900</v>
      </c>
      <c r="C68" t="s">
        <v>21</v>
      </c>
      <c r="D68" s="4">
        <f t="shared" si="5"/>
        <v>709.1907567964347</v>
      </c>
      <c r="E68" s="4">
        <f>Pr*$I$70*EXP(1.25*LN(B68-temp1))+($J$70*(B68*B68*B68*B68-t2_4))-($A$27*3.413)</f>
        <v>1792.857853581762</v>
      </c>
      <c r="F68" s="4">
        <f t="shared" si="4"/>
        <v>9.396074443149736</v>
      </c>
      <c r="G68">
        <f t="shared" si="3"/>
        <v>190.80924320356525</v>
      </c>
      <c r="H68" s="5">
        <f>re4*0.4</f>
        <v>0.4</v>
      </c>
      <c r="I68">
        <f>$G$21*$I$21/(EXP(0.25*LN($H$21)))+I67</f>
        <v>0.5299163635819507</v>
      </c>
      <c r="J68">
        <f>0.000000001714*$I$21*H68*ra4+J67</f>
        <v>1.650478175956352E-09</v>
      </c>
    </row>
    <row r="69" spans="2:10" ht="12.75">
      <c r="B69">
        <f>D68</f>
        <v>709.1907567964347</v>
      </c>
      <c r="D69">
        <f t="shared" si="5"/>
        <v>641.3087820422552</v>
      </c>
      <c r="E69" s="4">
        <f>Pr*$I$70*EXP(1.25*LN(B69-temp1))+($J$70*(B69*B69*B69*B69-t2_4))-($A$27*3.413)</f>
        <v>377.0197147789116</v>
      </c>
      <c r="F69" s="4">
        <f t="shared" si="4"/>
        <v>5.554047538307637</v>
      </c>
      <c r="G69">
        <f t="shared" si="3"/>
        <v>67.88197475417945</v>
      </c>
      <c r="H69" s="5">
        <f>re5*0.4</f>
        <v>0.4</v>
      </c>
      <c r="I69">
        <f>$G$22*$I$22/(EXP(0.25*LN($H$22)))+I68</f>
        <v>0.6176023559940204</v>
      </c>
      <c r="J69">
        <f>0.000000001714*$I$22*H69*ra5+J68</f>
        <v>1.816891244893601E-09</v>
      </c>
    </row>
    <row r="70" spans="2:10" ht="12.75">
      <c r="B70">
        <f>D69</f>
        <v>641.3087820422552</v>
      </c>
      <c r="D70">
        <f t="shared" si="5"/>
        <v>629.354992998047</v>
      </c>
      <c r="E70" s="4">
        <f>Pr*$I$70*EXP(1.25*LN(B70-temp1))+($J$70*(B70*B70*B70*B70-t2_4))-($A$27*3.413)</f>
        <v>48.168393912718585</v>
      </c>
      <c r="F70" s="4">
        <f t="shared" si="4"/>
        <v>4.029550273522427</v>
      </c>
      <c r="G70">
        <f t="shared" si="3"/>
        <v>11.953789044208209</v>
      </c>
      <c r="H70" s="5">
        <f>re6*0.4</f>
        <v>0.4</v>
      </c>
      <c r="I70" s="4">
        <f>$G$23*$I$23/(EXP(0.25*LN($H$23)))+I69</f>
        <v>0.70528834840609</v>
      </c>
      <c r="J70" s="4">
        <f>0.000000001714*$I$23*H70*ra6+J69</f>
        <v>1.98330431383085E-09</v>
      </c>
    </row>
    <row r="71" spans="2:7" ht="12.75">
      <c r="B71">
        <f>D70</f>
        <v>629.354992998047</v>
      </c>
      <c r="D71">
        <f t="shared" si="5"/>
        <v>628.6802892185033</v>
      </c>
      <c r="E71" s="4">
        <f>Pr*$I$70*EXP(1.25*LN(B71-temp1))+($J$70*(B71*B71*B71*B71-t2_4))-($A$27*3.413)</f>
        <v>2.4261972120775397</v>
      </c>
      <c r="F71" s="4">
        <f t="shared" si="4"/>
        <v>3.5959443027255604</v>
      </c>
      <c r="G71">
        <f t="shared" si="3"/>
        <v>0.6747037795436914</v>
      </c>
    </row>
    <row r="72" spans="2:7" ht="12.75">
      <c r="B72">
        <f>D71</f>
        <v>628.6802892185033</v>
      </c>
      <c r="D72" s="3">
        <f t="shared" si="5"/>
        <v>628.6773781735154</v>
      </c>
      <c r="E72" s="4">
        <f>Pr*$I$70*EXP(1.25*LN(B72-temp1))+($J$70*(B72*B72*B72*B72-t2_4))-($A$27*3.413)</f>
        <v>0.010377862379378655</v>
      </c>
      <c r="F72" s="4">
        <f t="shared" si="4"/>
        <v>3.56499553350009</v>
      </c>
      <c r="G72" s="4">
        <f t="shared" si="3"/>
        <v>0.0029110449878151</v>
      </c>
    </row>
    <row r="73" spans="1:7" ht="12.75">
      <c r="A73" t="s">
        <v>20</v>
      </c>
      <c r="B73" s="4">
        <f>temp2</f>
        <v>900</v>
      </c>
      <c r="C73" t="s">
        <v>21</v>
      </c>
      <c r="D73" s="4">
        <f t="shared" si="5"/>
        <v>711.0069407893618</v>
      </c>
      <c r="E73" s="4">
        <f>Pr*$I$70*EXP(1.25*LN(B73-temp1))+($J$70*(B73*B73*B73*B73-t2_4))-($A$28*3.413)</f>
        <v>1775.792853581762</v>
      </c>
      <c r="F73" s="4">
        <f t="shared" si="4"/>
        <v>9.396074443149736</v>
      </c>
      <c r="G73">
        <f t="shared" si="3"/>
        <v>188.99305921063817</v>
      </c>
    </row>
    <row r="74" spans="2:7" ht="12.75">
      <c r="B74">
        <f>D73</f>
        <v>711.0069407893618</v>
      </c>
      <c r="D74">
        <f t="shared" si="5"/>
        <v>644.7958936620346</v>
      </c>
      <c r="E74" s="4">
        <f>Pr*$I$70*EXP(1.25*LN(B74-temp1))+($J$70*(B74*B74*B74*B74-t2_4))-($A$28*3.413)</f>
        <v>370.0739198098181</v>
      </c>
      <c r="F74" s="4">
        <f t="shared" si="4"/>
        <v>5.589307764581148</v>
      </c>
      <c r="G74">
        <f t="shared" si="3"/>
        <v>66.21104712732718</v>
      </c>
    </row>
    <row r="75" spans="2:7" ht="12.75">
      <c r="B75">
        <f>D74</f>
        <v>644.7958936620346</v>
      </c>
      <c r="D75">
        <f t="shared" si="5"/>
        <v>633.8253787238364</v>
      </c>
      <c r="E75" s="4">
        <f>Pr*$I$70*EXP(1.25*LN(B75-temp1))+($J$70*(B75*B75*B75*B75-t2_4))-($A$28*3.413)</f>
        <v>45.33649709198772</v>
      </c>
      <c r="F75" s="4">
        <f t="shared" si="4"/>
        <v>4.1325769435061614</v>
      </c>
      <c r="G75">
        <f t="shared" si="3"/>
        <v>10.970514938198178</v>
      </c>
    </row>
    <row r="76" spans="2:7" ht="12.75">
      <c r="B76">
        <f>D75</f>
        <v>633.8253787238364</v>
      </c>
      <c r="D76">
        <f t="shared" si="5"/>
        <v>633.3338858923743</v>
      </c>
      <c r="E76" s="4">
        <f>Pr*$I$70*EXP(1.25*LN(B76-temp1))+($J$70*(B76*B76*B76*B76-t2_4))-($A$28*3.413)</f>
        <v>1.8570673535156743</v>
      </c>
      <c r="F76" s="4">
        <f t="shared" si="4"/>
        <v>3.7784220534637702</v>
      </c>
      <c r="G76">
        <f t="shared" si="3"/>
        <v>0.4914928314620798</v>
      </c>
    </row>
    <row r="77" spans="2:7" ht="12.75">
      <c r="B77">
        <f>D76</f>
        <v>633.3338858923743</v>
      </c>
      <c r="D77" s="3">
        <f t="shared" si="5"/>
        <v>633.3326795519628</v>
      </c>
      <c r="E77" s="4">
        <f>Pr*$I$70*EXP(1.25*LN(B77-temp1))+($J$70*(B77*B77*B77*B77-t2_4))-($A$28*3.413)</f>
        <v>0.004535733572218703</v>
      </c>
      <c r="F77" s="4">
        <f t="shared" si="4"/>
        <v>3.7599118201803936</v>
      </c>
      <c r="G77" s="4">
        <f t="shared" si="3"/>
        <v>0.0012063404114623856</v>
      </c>
    </row>
    <row r="78" spans="1:7" ht="12.75">
      <c r="A78" t="s">
        <v>20</v>
      </c>
      <c r="B78" s="4">
        <f>temp2</f>
        <v>900</v>
      </c>
      <c r="C78" t="s">
        <v>21</v>
      </c>
      <c r="D78" s="4">
        <f t="shared" si="5"/>
        <v>712.8231247822889</v>
      </c>
      <c r="E78" s="4">
        <f>Pr*$I$70*EXP(1.25*LN(B78-temp1))+($J$70*(B78*B78*B78*B78-t2_4))-($A$29*3.413)</f>
        <v>1758.727853581762</v>
      </c>
      <c r="F78" s="4">
        <f t="shared" si="4"/>
        <v>9.396074443149736</v>
      </c>
      <c r="G78">
        <f t="shared" si="3"/>
        <v>187.17687521771106</v>
      </c>
    </row>
    <row r="79" spans="2:7" ht="12.75">
      <c r="B79">
        <f>D78</f>
        <v>712.8231247822889</v>
      </c>
      <c r="D79">
        <f t="shared" si="5"/>
        <v>648.2497174594092</v>
      </c>
      <c r="E79" s="4">
        <f>Pr*$I$70*EXP(1.25*LN(B79-temp1))+($J$70*(B79*B79*B79*B79-t2_4))-($A$29*3.413)</f>
        <v>363.19208643307127</v>
      </c>
      <c r="F79" s="4">
        <f t="shared" si="4"/>
        <v>5.62448384699664</v>
      </c>
      <c r="G79">
        <f t="shared" si="3"/>
        <v>64.57340732287967</v>
      </c>
    </row>
    <row r="80" spans="2:7" ht="12.75">
      <c r="B80">
        <f>D79</f>
        <v>648.2497174594092</v>
      </c>
      <c r="D80">
        <f t="shared" si="5"/>
        <v>638.1490930507541</v>
      </c>
      <c r="E80" s="4">
        <f>Pr*$I$70*EXP(1.25*LN(B80-temp1))+($J$70*(B80*B80*B80*B80-t2_4))-($A$29*3.413)</f>
        <v>42.71213006369828</v>
      </c>
      <c r="F80" s="4">
        <f t="shared" si="4"/>
        <v>4.228662341617086</v>
      </c>
      <c r="G80">
        <f t="shared" si="3"/>
        <v>10.100624408655127</v>
      </c>
    </row>
    <row r="81" spans="2:7" ht="12.75">
      <c r="B81">
        <f>D80</f>
        <v>638.1490930507541</v>
      </c>
      <c r="D81">
        <f t="shared" si="5"/>
        <v>637.7769277220509</v>
      </c>
      <c r="E81" s="4">
        <f>Pr*$I$70*EXP(1.25*LN(B81-temp1))+($J$70*(B81*B81*B81*B81-t2_4))-($A$29*3.413)</f>
        <v>1.4624229720953394</v>
      </c>
      <c r="F81" s="4">
        <f t="shared" si="4"/>
        <v>3.9294981539276526</v>
      </c>
      <c r="G81">
        <f t="shared" si="3"/>
        <v>0.3721653287032603</v>
      </c>
    </row>
    <row r="82" spans="2:7" ht="12.75">
      <c r="B82">
        <f>D81</f>
        <v>637.7769277220509</v>
      </c>
      <c r="D82" s="3">
        <f t="shared" si="5"/>
        <v>637.7763448098498</v>
      </c>
      <c r="E82" s="4">
        <f>Pr*$I$70*EXP(1.25*LN(B82-temp1))+($J$70*(B82*B82*B82*B82-t2_4))-($A$29*3.413)</f>
        <v>0.002283388213811577</v>
      </c>
      <c r="F82" s="4">
        <f t="shared" si="4"/>
        <v>3.9172077872586604</v>
      </c>
      <c r="G82" s="4">
        <f t="shared" si="3"/>
        <v>0.0005829122011956218</v>
      </c>
    </row>
    <row r="83" spans="1:7" ht="12.75">
      <c r="A83" t="s">
        <v>20</v>
      </c>
      <c r="B83" s="4">
        <f>temp2</f>
        <v>900</v>
      </c>
      <c r="C83" t="s">
        <v>21</v>
      </c>
      <c r="D83" s="4">
        <f t="shared" si="5"/>
        <v>714.639308775216</v>
      </c>
      <c r="E83" s="4">
        <f>Pr*$I$70*EXP(1.25*LN(B83-temp1))+($J$70*(B83*B83*B83*B83-t2_4))-($A$30*3.413)</f>
        <v>1741.662853581762</v>
      </c>
      <c r="F83" s="4">
        <f t="shared" si="4"/>
        <v>9.396074443149736</v>
      </c>
      <c r="G83">
        <f aca="true" t="shared" si="6" ref="G83:G112">E83/F83</f>
        <v>185.36069122478395</v>
      </c>
    </row>
    <row r="84" spans="2:7" ht="12.75">
      <c r="B84">
        <f>D83</f>
        <v>714.639308775216</v>
      </c>
      <c r="D84">
        <f t="shared" si="5"/>
        <v>651.6710487322912</v>
      </c>
      <c r="E84" s="4">
        <f>Pr*$I$70*EXP(1.25*LN(B84-temp1))+($J$70*(B84*B84*B84*B84-t2_4))-($A$30*3.413)</f>
        <v>356.3740680565082</v>
      </c>
      <c r="F84" s="4">
        <f t="shared" si="4"/>
        <v>5.65958258674404</v>
      </c>
      <c r="G84">
        <f t="shared" si="6"/>
        <v>62.968260042924875</v>
      </c>
    </row>
    <row r="85" spans="2:7" ht="12.75">
      <c r="B85">
        <f>D84</f>
        <v>651.6710487322912</v>
      </c>
      <c r="D85">
        <f t="shared" si="5"/>
        <v>642.3473576823924</v>
      </c>
      <c r="E85" s="4">
        <f>Pr*$I$70*EXP(1.25*LN(B85-temp1))+($J$70*(B85*B85*B85*B85-t2_4))-($A$30*3.413)</f>
        <v>40.27083826854849</v>
      </c>
      <c r="F85" s="4">
        <f t="shared" si="4"/>
        <v>4.319194839578645</v>
      </c>
      <c r="G85">
        <f t="shared" si="6"/>
        <v>9.323691049898798</v>
      </c>
    </row>
    <row r="86" spans="2:7" ht="12.75">
      <c r="B86">
        <f>D85</f>
        <v>642.3473576823924</v>
      </c>
      <c r="D86">
        <f t="shared" si="5"/>
        <v>642.0580777064546</v>
      </c>
      <c r="E86" s="4">
        <f>Pr*$I$70*EXP(1.25*LN(B86-temp1))+($J$70*(B86*B86*B86*B86-t2_4))-($A$30*3.413)</f>
        <v>1.1747542155081163</v>
      </c>
      <c r="F86" s="4">
        <f t="shared" si="4"/>
        <v>4.060959323920333</v>
      </c>
      <c r="G86">
        <f t="shared" si="6"/>
        <v>0.28927997593781424</v>
      </c>
    </row>
    <row r="87" spans="2:7" ht="12.75">
      <c r="B87">
        <f>D86</f>
        <v>642.0580777064546</v>
      </c>
      <c r="D87" s="3">
        <f t="shared" si="5"/>
        <v>642.0577680937711</v>
      </c>
      <c r="E87" s="4">
        <f>Pr*$I$70*EXP(1.25*LN(B87-temp1))+($J$70*(B87*B87*B87*B87-t2_4))-($A$30*3.413)</f>
        <v>0.0012546363006435968</v>
      </c>
      <c r="F87" s="4">
        <f t="shared" si="4"/>
        <v>4.052276819564824</v>
      </c>
      <c r="G87" s="4">
        <f t="shared" si="6"/>
        <v>0.0003096126835625047</v>
      </c>
    </row>
    <row r="88" spans="1:7" ht="12.75">
      <c r="A88" t="s">
        <v>20</v>
      </c>
      <c r="B88" s="4">
        <f>temp2</f>
        <v>900</v>
      </c>
      <c r="C88" t="s">
        <v>21</v>
      </c>
      <c r="D88" s="4">
        <f t="shared" si="5"/>
        <v>716.4554927681431</v>
      </c>
      <c r="E88" s="4">
        <f>Pr*$I$70*EXP(1.25*LN(B88-temp1))+($J$70*(B88*B88*B88*B88-t2_4))-($A$31*3.413)</f>
        <v>1724.597853581762</v>
      </c>
      <c r="F88" s="4">
        <f t="shared" si="4"/>
        <v>9.396074443149736</v>
      </c>
      <c r="G88">
        <f t="shared" si="6"/>
        <v>183.54450723185684</v>
      </c>
    </row>
    <row r="89" spans="2:7" ht="12.75">
      <c r="B89">
        <f>D88</f>
        <v>716.4554927681431</v>
      </c>
      <c r="D89">
        <f t="shared" si="5"/>
        <v>655.0606470332035</v>
      </c>
      <c r="E89" s="4">
        <f>Pr*$I$70*EXP(1.25*LN(B89-temp1))+($J$70*(B89*B89*B89*B89-t2_4))-($A$31*3.413)</f>
        <v>349.6197301328294</v>
      </c>
      <c r="F89" s="4">
        <f t="shared" si="4"/>
        <v>5.694610450562002</v>
      </c>
      <c r="G89">
        <f t="shared" si="6"/>
        <v>61.394845734939665</v>
      </c>
    </row>
    <row r="90" spans="2:7" ht="12.75">
      <c r="B90">
        <f>D89</f>
        <v>655.0606470332035</v>
      </c>
      <c r="D90">
        <f t="shared" si="5"/>
        <v>646.4360506890822</v>
      </c>
      <c r="E90" s="4">
        <f>Pr*$I$70*EXP(1.25*LN(B90-temp1))+($J$70*(B90*B90*B90*B90-t2_4))-($A$31*3.413)</f>
        <v>37.992834866565815</v>
      </c>
      <c r="F90" s="4">
        <f t="shared" si="4"/>
        <v>4.405172526417701</v>
      </c>
      <c r="G90">
        <f t="shared" si="6"/>
        <v>8.624596344121327</v>
      </c>
    </row>
    <row r="91" spans="2:7" ht="12.75">
      <c r="B91">
        <f>D90</f>
        <v>646.4360506890822</v>
      </c>
      <c r="D91">
        <f t="shared" si="5"/>
        <v>646.2068733480661</v>
      </c>
      <c r="E91" s="4">
        <f>Pr*$I$70*EXP(1.25*LN(B91-temp1))+($J$70*(B91*B91*B91*B91-t2_4))-($A$31*3.413)</f>
        <v>0.9577002582604877</v>
      </c>
      <c r="F91" s="4">
        <f t="shared" si="4"/>
        <v>4.178861025328786</v>
      </c>
      <c r="G91">
        <f t="shared" si="6"/>
        <v>0.2291773410160577</v>
      </c>
    </row>
    <row r="92" spans="2:7" ht="12.75">
      <c r="B92">
        <f>D91</f>
        <v>646.2068733480661</v>
      </c>
      <c r="D92" s="3">
        <f t="shared" si="5"/>
        <v>646.2066978887218</v>
      </c>
      <c r="E92" s="4">
        <f>Pr*$I$70*EXP(1.25*LN(B92-temp1))+($J$70*(B92*B92*B92*B92-t2_4))-($A$31*3.413)</f>
        <v>0.0007320985355363518</v>
      </c>
      <c r="F92" s="4">
        <f t="shared" si="4"/>
        <v>4.172468206933573</v>
      </c>
      <c r="G92" s="4">
        <f t="shared" si="6"/>
        <v>0.0001754593442605007</v>
      </c>
    </row>
    <row r="93" spans="1:8" ht="12.75">
      <c r="A93" t="s">
        <v>20</v>
      </c>
      <c r="B93" s="4">
        <f>temp2</f>
        <v>900</v>
      </c>
      <c r="C93" t="s">
        <v>21</v>
      </c>
      <c r="D93" s="4">
        <f t="shared" si="5"/>
        <v>711.5276657288607</v>
      </c>
      <c r="E93" s="4">
        <f>Pr*$I$100*EXP(1.25*LN(B93-temp1))+($J$100*(B93*B93*B93*B93-t2_4))-($A$26*3.413)</f>
        <v>2315.8975579513017</v>
      </c>
      <c r="F93" s="4">
        <f>1.25*Pr*$I$100*EXP(0.25*LN(B93-temp1))+(4*$J$100*B93*B93*B93)</f>
        <v>12.287732132715114</v>
      </c>
      <c r="G93">
        <f t="shared" si="6"/>
        <v>188.47233427113926</v>
      </c>
      <c r="H93" s="6" t="s">
        <v>26</v>
      </c>
    </row>
    <row r="94" spans="2:10" ht="12.75">
      <c r="B94">
        <f>D93</f>
        <v>711.5276657288607</v>
      </c>
      <c r="D94">
        <f t="shared" si="5"/>
        <v>638.018896853895</v>
      </c>
      <c r="E94" s="4">
        <f>Pr*$I$100*EXP(1.25*LN(B94-temp1))+($J$100*(B94*B94*B94*B94-t2_4))-($A$26*3.413)</f>
        <v>516.6400730020432</v>
      </c>
      <c r="F94" s="4">
        <f aca="true" t="shared" si="7" ref="F94:F122">1.25*Pr*$I$100*EXP(0.25*LN(B94-temp1))+(4*$J$100*B94*B94*B94)</f>
        <v>7.0282781348279535</v>
      </c>
      <c r="G94">
        <f t="shared" si="6"/>
        <v>73.50876887496572</v>
      </c>
      <c r="H94" s="7" t="s">
        <v>14</v>
      </c>
      <c r="I94" s="7" t="s">
        <v>18</v>
      </c>
      <c r="J94" s="7" t="s">
        <v>19</v>
      </c>
    </row>
    <row r="95" spans="2:10" ht="12.75">
      <c r="B95">
        <f>D94</f>
        <v>638.018896853895</v>
      </c>
      <c r="D95">
        <f t="shared" si="5"/>
        <v>623.5258436469219</v>
      </c>
      <c r="E95" s="4">
        <f>Pr*$I$100*EXP(1.25*LN(B95-temp1))+($J$100*(B95*B95*B95*B95-t2_4))-($A$26*3.413)</f>
        <v>71.81899402714834</v>
      </c>
      <c r="F95" s="4">
        <f t="shared" si="7"/>
        <v>4.955408153238127</v>
      </c>
      <c r="G95">
        <f t="shared" si="6"/>
        <v>14.49305320697307</v>
      </c>
      <c r="H95" s="5">
        <f>re1*0.6</f>
        <v>0.6</v>
      </c>
      <c r="I95">
        <f>$G$18*$I$18/(EXP(0.25*LN($H$18)))</f>
        <v>0.2617406923272558</v>
      </c>
      <c r="J95">
        <f>0.000000001714*$I$18*H95*ra1</f>
        <v>8.055905382644099E-10</v>
      </c>
    </row>
    <row r="96" spans="2:10" ht="12.75">
      <c r="B96">
        <f>D95</f>
        <v>623.5258436469219</v>
      </c>
      <c r="D96">
        <f t="shared" si="5"/>
        <v>622.4305197033659</v>
      </c>
      <c r="E96" s="4">
        <f>Pr*$I$100*EXP(1.25*LN(B96-temp1))+($J$100*(B96*B96*B96*B96-t2_4))-($A$26*3.413)</f>
        <v>4.6402411258380845</v>
      </c>
      <c r="F96" s="4">
        <f t="shared" si="7"/>
        <v>4.236409833946966</v>
      </c>
      <c r="G96">
        <f t="shared" si="6"/>
        <v>1.0953239435559705</v>
      </c>
      <c r="H96" s="5">
        <f>re2*0.6</f>
        <v>0.6</v>
      </c>
      <c r="I96">
        <f>$G$19*$I$19/(EXP(0.25*LN($H$19)))+I95</f>
        <v>0.3780698889171472</v>
      </c>
      <c r="J96">
        <f>0.000000001714*$I$19*H96*ra2+J95</f>
        <v>1.6111810765288198E-09</v>
      </c>
    </row>
    <row r="97" spans="2:10" ht="12.75">
      <c r="B97">
        <f>D96</f>
        <v>622.4305197033659</v>
      </c>
      <c r="D97" s="3">
        <f aca="true" t="shared" si="8" ref="D97:D128">B97-G97</f>
        <v>622.4191918280083</v>
      </c>
      <c r="E97" s="4">
        <f>Pr*$I$100*EXP(1.25*LN(B97-temp1))+($J$100*(B97*B97*B97*B97-t2_4))-($A$26*3.413)</f>
        <v>0.04699487811269165</v>
      </c>
      <c r="F97" s="4">
        <f t="shared" si="7"/>
        <v>4.148604802652752</v>
      </c>
      <c r="G97" s="4">
        <f t="shared" si="6"/>
        <v>0.011327875357672441</v>
      </c>
      <c r="H97" s="5">
        <f>re3*0.6</f>
        <v>0.6</v>
      </c>
      <c r="I97">
        <f>$G$20*$I$20/(EXP(0.25*LN($H$20)))+I96</f>
        <v>0.5299163635819507</v>
      </c>
      <c r="J97">
        <f>0.000000001714*$I$20*H97*ra3+J96</f>
        <v>2.0434491702316737E-09</v>
      </c>
    </row>
    <row r="98" spans="1:10" ht="12.75">
      <c r="A98" t="s">
        <v>20</v>
      </c>
      <c r="B98" s="4">
        <f>temp2</f>
        <v>900</v>
      </c>
      <c r="C98" t="s">
        <v>21</v>
      </c>
      <c r="D98" s="4">
        <f t="shared" si="8"/>
        <v>712.9164492582938</v>
      </c>
      <c r="E98" s="4">
        <f>Pr*$I$100*EXP(1.25*LN(B98-temp1))+($J$100*(B98*B98*B98*B98-t2_4))-($A$27*3.413)</f>
        <v>2298.8325579513016</v>
      </c>
      <c r="F98" s="4">
        <f t="shared" si="7"/>
        <v>12.287732132715114</v>
      </c>
      <c r="G98">
        <f t="shared" si="6"/>
        <v>187.0835507417062</v>
      </c>
      <c r="H98" s="5">
        <f>re4*0.6</f>
        <v>0.6</v>
      </c>
      <c r="I98">
        <f>$G$21*$I$21/(EXP(0.25*LN($H$21)))+I97</f>
        <v>0.5299163635819507</v>
      </c>
      <c r="J98">
        <f>0.000000001714*$I$21*H98*ra4+J97</f>
        <v>2.4757172639345276E-09</v>
      </c>
    </row>
    <row r="99" spans="2:10" ht="12.75">
      <c r="B99">
        <f>D98</f>
        <v>712.9164492582938</v>
      </c>
      <c r="D99">
        <f t="shared" si="8"/>
        <v>640.8053438405235</v>
      </c>
      <c r="E99" s="4">
        <f>Pr*$I$100*EXP(1.25*LN(B99-temp1))+($J$100*(B99*B99*B99*B99-t2_4))-($A$27*3.413)</f>
        <v>509.36032328104704</v>
      </c>
      <c r="F99" s="4">
        <f t="shared" si="7"/>
        <v>7.063548954493288</v>
      </c>
      <c r="G99">
        <f t="shared" si="6"/>
        <v>72.11110541777035</v>
      </c>
      <c r="H99" s="5">
        <f>re5*0.6</f>
        <v>0.6</v>
      </c>
      <c r="I99">
        <f>$G$22*$I$22/(EXP(0.25*LN($H$22)))+I98</f>
        <v>0.6176023559940204</v>
      </c>
      <c r="J99">
        <f>0.000000001714*$I$22*H99*ra5+J98</f>
        <v>2.725336867340401E-09</v>
      </c>
    </row>
    <row r="100" spans="2:10" ht="12.75">
      <c r="B100">
        <f>D99</f>
        <v>640.8053438405235</v>
      </c>
      <c r="D100">
        <f t="shared" si="8"/>
        <v>627.2212680794368</v>
      </c>
      <c r="E100" s="4">
        <f>Pr*$I$100*EXP(1.25*LN(B100-temp1))+($J$100*(B100*B100*B100*B100-t2_4))-($A$27*3.413)</f>
        <v>68.70599670659638</v>
      </c>
      <c r="F100" s="4">
        <f t="shared" si="7"/>
        <v>5.057833739665459</v>
      </c>
      <c r="G100">
        <f t="shared" si="6"/>
        <v>13.584075761086764</v>
      </c>
      <c r="H100" s="5">
        <f>re6*0.6</f>
        <v>0.6</v>
      </c>
      <c r="I100" s="4">
        <f>$G$23*$I$23/(EXP(0.25*LN($H$23)))+I99</f>
        <v>0.70528834840609</v>
      </c>
      <c r="J100" s="4">
        <f>0.000000001714*$I$23*H100*ra6+J99</f>
        <v>2.974956470746274E-09</v>
      </c>
    </row>
    <row r="101" spans="2:7" ht="12.75">
      <c r="B101">
        <f>D100</f>
        <v>627.2212680794368</v>
      </c>
      <c r="D101">
        <f t="shared" si="8"/>
        <v>626.396570699269</v>
      </c>
      <c r="E101" s="4">
        <f>Pr*$I$100*EXP(1.25*LN(B101-temp1))+($J$100*(B101*B101*B101*B101-t2_4))-($A$27*3.413)</f>
        <v>3.688550696498858</v>
      </c>
      <c r="F101" s="4">
        <f t="shared" si="7"/>
        <v>4.47261114828412</v>
      </c>
      <c r="G101">
        <f t="shared" si="6"/>
        <v>0.8246973801677214</v>
      </c>
    </row>
    <row r="102" spans="2:7" ht="12.75">
      <c r="B102">
        <f>D101</f>
        <v>626.396570699269</v>
      </c>
      <c r="D102" s="3">
        <f t="shared" si="8"/>
        <v>626.392217402372</v>
      </c>
      <c r="E102" s="4">
        <f>Pr*$I$100*EXP(1.25*LN(B102-temp1))+($J$100*(B102*B102*B102*B102-t2_4))-($A$27*3.413)</f>
        <v>0.019265422181263148</v>
      </c>
      <c r="F102" s="4">
        <f t="shared" si="7"/>
        <v>4.425478582629319</v>
      </c>
      <c r="G102" s="4">
        <f t="shared" si="6"/>
        <v>0.004353296896946441</v>
      </c>
    </row>
    <row r="103" spans="1:7" ht="12.75">
      <c r="A103" t="s">
        <v>20</v>
      </c>
      <c r="B103" s="4">
        <f>temp2</f>
        <v>900</v>
      </c>
      <c r="C103" t="s">
        <v>21</v>
      </c>
      <c r="D103" s="4">
        <f t="shared" si="8"/>
        <v>714.3052327877268</v>
      </c>
      <c r="E103" s="4">
        <f>Pr*$I$100*EXP(1.25*LN(B103-temp1))+($J$100*(B103*B103*B103*B103-t2_4))-($A$28*3.413)</f>
        <v>2281.7675579513016</v>
      </c>
      <c r="F103" s="4">
        <f t="shared" si="7"/>
        <v>12.287732132715114</v>
      </c>
      <c r="G103">
        <f t="shared" si="6"/>
        <v>185.69476721227315</v>
      </c>
    </row>
    <row r="104" spans="2:7" ht="12.75">
      <c r="B104">
        <f>D103</f>
        <v>714.3052327877268</v>
      </c>
      <c r="D104">
        <f t="shared" si="8"/>
        <v>643.5708806353796</v>
      </c>
      <c r="E104" s="4">
        <f>Pr*$I$100*EXP(1.25*LN(B104-temp1))+($J$100*(B104*B104*B104*B104-t2_4))-($A$28*3.413)</f>
        <v>502.1295482075431</v>
      </c>
      <c r="F104" s="4">
        <f t="shared" si="7"/>
        <v>7.098807480784718</v>
      </c>
      <c r="G104">
        <f t="shared" si="6"/>
        <v>70.73435215234723</v>
      </c>
    </row>
    <row r="105" spans="2:7" ht="12.75">
      <c r="B105">
        <f>D104</f>
        <v>643.5708806353796</v>
      </c>
      <c r="D105">
        <f t="shared" si="8"/>
        <v>630.8123975862109</v>
      </c>
      <c r="E105" s="4">
        <f>Pr*$I$100*EXP(1.25*LN(B105-temp1))+($J$100*(B105*B105*B105*B105-t2_4))-($A$28*3.413)</f>
        <v>65.7632795786881</v>
      </c>
      <c r="F105" s="4">
        <f t="shared" si="7"/>
        <v>5.1544748168923356</v>
      </c>
      <c r="G105">
        <f t="shared" si="6"/>
        <v>12.758483049168758</v>
      </c>
    </row>
    <row r="106" spans="2:7" ht="12.75">
      <c r="B106">
        <f>D105</f>
        <v>630.8123975862109</v>
      </c>
      <c r="D106">
        <f t="shared" si="8"/>
        <v>630.1631406691248</v>
      </c>
      <c r="E106" s="4">
        <f>Pr*$I$100*EXP(1.25*LN(B106-temp1))+($J$100*(B106*B106*B106*B106-t2_4))-($A$28*3.413)</f>
        <v>3.0222887104647995</v>
      </c>
      <c r="F106" s="4">
        <f t="shared" si="7"/>
        <v>4.6549965521029435</v>
      </c>
      <c r="G106">
        <f t="shared" si="6"/>
        <v>0.6492569170861038</v>
      </c>
    </row>
    <row r="107" spans="2:7" ht="12.75">
      <c r="B107">
        <f>D106</f>
        <v>630.1631406691248</v>
      </c>
      <c r="D107" s="3">
        <f t="shared" si="8"/>
        <v>630.1609910186706</v>
      </c>
      <c r="E107" s="4">
        <f>Pr*$I$100*EXP(1.25*LN(B107-temp1))+($J$100*(B107*B107*B107*B107-t2_4))-($A$28*3.413)</f>
        <v>0.009940496446340319</v>
      </c>
      <c r="F107" s="4">
        <f t="shared" si="7"/>
        <v>4.624238525413487</v>
      </c>
      <c r="G107" s="4">
        <f t="shared" si="6"/>
        <v>0.0021496504541688765</v>
      </c>
    </row>
    <row r="108" spans="1:7" ht="12.75">
      <c r="A108" t="s">
        <v>20</v>
      </c>
      <c r="B108" s="4">
        <f>temp2</f>
        <v>900</v>
      </c>
      <c r="C108" t="s">
        <v>21</v>
      </c>
      <c r="D108" s="4">
        <f t="shared" si="8"/>
        <v>715.6940163171598</v>
      </c>
      <c r="E108" s="4">
        <f>Pr*$I$100*EXP(1.25*LN(B108-temp1))+($J$100*(B108*B108*B108*B108-t2_4))-($A$29*3.413)</f>
        <v>2264.702557951302</v>
      </c>
      <c r="F108" s="4">
        <f t="shared" si="7"/>
        <v>12.287732132715114</v>
      </c>
      <c r="G108">
        <f t="shared" si="6"/>
        <v>184.30598368284012</v>
      </c>
    </row>
    <row r="109" spans="2:7" ht="12.75">
      <c r="B109">
        <f>D108</f>
        <v>715.6940163171598</v>
      </c>
      <c r="D109">
        <f t="shared" si="8"/>
        <v>646.315855317599</v>
      </c>
      <c r="E109" s="4">
        <f>Pr*$I$100*EXP(1.25*LN(B109-temp1))+($J$100*(B109*B109*B109*B109-t2_4))-($A$29*3.413)</f>
        <v>494.94773277983734</v>
      </c>
      <c r="F109" s="4">
        <f t="shared" si="7"/>
        <v>7.134056677907195</v>
      </c>
      <c r="G109">
        <f t="shared" si="6"/>
        <v>69.3781609995608</v>
      </c>
    </row>
    <row r="110" spans="2:7" ht="12.75">
      <c r="B110">
        <f>D109</f>
        <v>646.315855317599</v>
      </c>
      <c r="D110">
        <f t="shared" si="8"/>
        <v>634.3125923790599</v>
      </c>
      <c r="E110" s="4">
        <f>Pr*$I$100*EXP(1.25*LN(B110-temp1))+($J$100*(B110*B110*B110*B110-t2_4))-($A$29*3.413)</f>
        <v>62.97419626283508</v>
      </c>
      <c r="F110" s="4">
        <f t="shared" si="7"/>
        <v>5.24642312555215</v>
      </c>
      <c r="G110">
        <f t="shared" si="6"/>
        <v>12.003262938539192</v>
      </c>
    </row>
    <row r="111" spans="2:7" ht="12.75">
      <c r="B111">
        <f>D110</f>
        <v>634.3125923790599</v>
      </c>
      <c r="D111">
        <f t="shared" si="8"/>
        <v>633.7874746211911</v>
      </c>
      <c r="E111" s="4">
        <f>Pr*$I$100*EXP(1.25*LN(B111-temp1))+($J$100*(B111*B111*B111*B111-t2_4))-($A$29*3.413)</f>
        <v>2.5251921379012856</v>
      </c>
      <c r="F111" s="4">
        <f t="shared" si="7"/>
        <v>4.808811166755885</v>
      </c>
      <c r="G111">
        <f t="shared" si="6"/>
        <v>0.5251177578687973</v>
      </c>
    </row>
    <row r="112" spans="2:7" ht="12.75">
      <c r="B112">
        <f>D111</f>
        <v>633.7874746211911</v>
      </c>
      <c r="D112" s="3">
        <f t="shared" si="8"/>
        <v>633.7862726545302</v>
      </c>
      <c r="E112" s="4">
        <f>Pr*$I$100*EXP(1.25*LN(B112-temp1))+($J$100*(B112*B112*B112*B112-t2_4))-($A$29*3.413)</f>
        <v>0.005753622769105959</v>
      </c>
      <c r="F112" s="4">
        <f t="shared" si="7"/>
        <v>4.786840564127596</v>
      </c>
      <c r="G112" s="4">
        <f t="shared" si="6"/>
        <v>0.0012019666608959975</v>
      </c>
    </row>
    <row r="113" spans="1:7" ht="12.75">
      <c r="A113" t="s">
        <v>20</v>
      </c>
      <c r="B113" s="4">
        <f>temp2</f>
        <v>900</v>
      </c>
      <c r="C113" t="s">
        <v>21</v>
      </c>
      <c r="D113" s="4">
        <f t="shared" si="8"/>
        <v>717.0827998465929</v>
      </c>
      <c r="E113" s="4">
        <f>Pr*$I$100*EXP(1.25*LN(B113-temp1))+($J$100*(B113*B113*B113*B113-t2_4))-($A$30*3.413)</f>
        <v>2247.637557951302</v>
      </c>
      <c r="F113" s="4">
        <f t="shared" si="7"/>
        <v>12.287732132715114</v>
      </c>
      <c r="G113">
        <f aca="true" t="shared" si="9" ref="G113:G142">E113/F113</f>
        <v>182.91720015340707</v>
      </c>
    </row>
    <row r="114" spans="2:7" ht="12.75">
      <c r="B114">
        <f>D113</f>
        <v>717.0827998465929</v>
      </c>
      <c r="D114">
        <f t="shared" si="8"/>
        <v>649.0406051119611</v>
      </c>
      <c r="E114" s="4">
        <f>Pr*$I$100*EXP(1.25*LN(B114-temp1))+($J$100*(B114*B114*B114*B114-t2_4))-($A$30*3.413)</f>
        <v>487.8148660373184</v>
      </c>
      <c r="F114" s="4">
        <f t="shared" si="7"/>
        <v>7.169299402228606</v>
      </c>
      <c r="G114">
        <f t="shared" si="9"/>
        <v>68.04219473463183</v>
      </c>
    </row>
    <row r="115" spans="2:7" ht="12.75">
      <c r="B115">
        <f>D114</f>
        <v>649.0406051119611</v>
      </c>
      <c r="D115">
        <f t="shared" si="8"/>
        <v>637.7320944965571</v>
      </c>
      <c r="E115" s="4">
        <f>Pr*$I$100*EXP(1.25*LN(B115-temp1))+($J$100*(B115*B115*B115*B115-t2_4))-($A$30*3.413)</f>
        <v>60.325013006576484</v>
      </c>
      <c r="F115" s="4">
        <f t="shared" si="7"/>
        <v>5.3344790537141265</v>
      </c>
      <c r="G115">
        <f t="shared" si="9"/>
        <v>11.308510615404</v>
      </c>
    </row>
    <row r="116" spans="2:7" ht="12.75">
      <c r="B116">
        <f>D115</f>
        <v>637.7320944965571</v>
      </c>
      <c r="D116">
        <f t="shared" si="8"/>
        <v>637.2994282206452</v>
      </c>
      <c r="E116" s="4">
        <f>Pr*$I$100*EXP(1.25*LN(B116-temp1))+($J$100*(B116*B116*B116*B116-t2_4))-($A$30*3.413)</f>
        <v>2.139330028204796</v>
      </c>
      <c r="F116" s="4">
        <f t="shared" si="7"/>
        <v>4.944526872809246</v>
      </c>
      <c r="G116">
        <f t="shared" si="9"/>
        <v>0.4326662759119216</v>
      </c>
    </row>
    <row r="117" spans="2:7" ht="12.75">
      <c r="B117">
        <f>D116</f>
        <v>637.2994282206452</v>
      </c>
      <c r="D117" s="3">
        <f t="shared" si="8"/>
        <v>637.2987029606765</v>
      </c>
      <c r="E117" s="4">
        <f>Pr*$I$100*EXP(1.25*LN(B117-temp1))+($J$100*(B117*B117*B117*B117-t2_4))-($A$30*3.413)</f>
        <v>0.003574065685086225</v>
      </c>
      <c r="F117" s="4">
        <f t="shared" si="7"/>
        <v>4.92797870997581</v>
      </c>
      <c r="G117" s="4">
        <f t="shared" si="9"/>
        <v>0.0007252599687273748</v>
      </c>
    </row>
    <row r="118" spans="1:7" ht="12.75">
      <c r="A118" t="s">
        <v>20</v>
      </c>
      <c r="B118" s="4">
        <f>temp2</f>
        <v>900</v>
      </c>
      <c r="C118" t="s">
        <v>21</v>
      </c>
      <c r="D118" s="4">
        <f t="shared" si="8"/>
        <v>718.471583376026</v>
      </c>
      <c r="E118" s="4">
        <f>Pr*$I$100*EXP(1.25*LN(B118-temp1))+($J$100*(B118*B118*B118*B118-t2_4))-($A$31*3.413)</f>
        <v>2230.572557951302</v>
      </c>
      <c r="F118" s="4">
        <f t="shared" si="7"/>
        <v>12.287732132715114</v>
      </c>
      <c r="G118">
        <f t="shared" si="9"/>
        <v>181.528416623974</v>
      </c>
    </row>
    <row r="119" spans="2:7" ht="12.75">
      <c r="B119">
        <f>D118</f>
        <v>718.471583376026</v>
      </c>
      <c r="D119">
        <f t="shared" si="8"/>
        <v>651.7454569129806</v>
      </c>
      <c r="E119" s="4">
        <f>Pr*$I$100*EXP(1.25*LN(B119-temp1))+($J$100*(B119*B119*B119*B119-t2_4))-($A$31*3.413)</f>
        <v>480.73094091465407</v>
      </c>
      <c r="F119" s="4">
        <f t="shared" si="7"/>
        <v>7.204538407918742</v>
      </c>
      <c r="G119">
        <f t="shared" si="9"/>
        <v>66.72612646304545</v>
      </c>
    </row>
    <row r="120" spans="2:7" ht="12.75">
      <c r="B120">
        <f>D119</f>
        <v>651.7454569129806</v>
      </c>
      <c r="D120">
        <f t="shared" si="8"/>
        <v>641.0790005089383</v>
      </c>
      <c r="E120" s="4">
        <f>Pr*$I$100*EXP(1.25*LN(B120-temp1))+($J$100*(B120*B120*B120*B120-t2_4))-($A$31*3.413)</f>
        <v>57.80417618286607</v>
      </c>
      <c r="F120" s="4">
        <f t="shared" si="7"/>
        <v>5.419248342022948</v>
      </c>
      <c r="G120">
        <f t="shared" si="9"/>
        <v>10.66645640404226</v>
      </c>
    </row>
    <row r="121" spans="2:7" ht="12.75">
      <c r="B121">
        <f>D120</f>
        <v>641.0790005089383</v>
      </c>
      <c r="D121">
        <f t="shared" si="8"/>
        <v>640.7175979020549</v>
      </c>
      <c r="E121" s="4">
        <f>Pr*$I$100*EXP(1.25*LN(B121-temp1))+($J$100*(B121*B121*B121*B121-t2_4))-($A$31*3.413)</f>
        <v>1.8314441457431059</v>
      </c>
      <c r="F121" s="4">
        <f t="shared" si="7"/>
        <v>5.067600816543335</v>
      </c>
      <c r="G121">
        <f t="shared" si="9"/>
        <v>0.3614026068833799</v>
      </c>
    </row>
    <row r="122" spans="2:7" ht="12.75">
      <c r="B122">
        <f>D121</f>
        <v>640.7175979020549</v>
      </c>
      <c r="D122" s="3">
        <f t="shared" si="8"/>
        <v>640.7171369145799</v>
      </c>
      <c r="E122" s="4">
        <f>Pr*$I$100*EXP(1.25*LN(B122-temp1))+($J$100*(B122*B122*B122*B122-t2_4))-($A$31*3.413)</f>
        <v>0.0023301495932486205</v>
      </c>
      <c r="F122" s="4">
        <f t="shared" si="7"/>
        <v>5.054691764907981</v>
      </c>
      <c r="G122" s="4">
        <f t="shared" si="9"/>
        <v>0.00046098747492885747</v>
      </c>
    </row>
    <row r="123" spans="1:8" ht="12.75">
      <c r="A123" t="s">
        <v>20</v>
      </c>
      <c r="B123" s="4">
        <f>temp2</f>
        <v>900</v>
      </c>
      <c r="C123" t="s">
        <v>21</v>
      </c>
      <c r="D123" s="4">
        <f t="shared" si="8"/>
        <v>714.0984390440475</v>
      </c>
      <c r="E123" s="4">
        <f>Pr*$I$130*EXP(1.25*LN(B123-temp1))+($J$130*(B123*B123*B123*B123-t2_4))-($A$26*3.413)</f>
        <v>2821.8722623208423</v>
      </c>
      <c r="F123" s="4">
        <f>1.25*Pr*$I$130*EXP(0.25*LN(B123-temp1))+(4*$J$130*B123*B123*B123)</f>
        <v>15.179389822280495</v>
      </c>
      <c r="G123">
        <f t="shared" si="9"/>
        <v>185.9015609559525</v>
      </c>
      <c r="H123" s="6" t="s">
        <v>26</v>
      </c>
    </row>
    <row r="124" spans="2:10" ht="12.75">
      <c r="B124">
        <f>D123</f>
        <v>714.0984390440475</v>
      </c>
      <c r="D124">
        <f t="shared" si="8"/>
        <v>638.2012679692685</v>
      </c>
      <c r="E124" s="4">
        <f>Pr*$I$130*EXP(1.25*LN(B124-temp1))+($J$130*(B124*B124*B124*B124-t2_4))-($A$26*3.413)</f>
        <v>648.0084084846858</v>
      </c>
      <c r="F124" s="4">
        <f aca="true" t="shared" si="10" ref="F124:F152">1.25*Pr*$I$130*EXP(0.25*LN(B124-temp1))+(4*$J$130*B124*B124*B124)</f>
        <v>8.537978416168174</v>
      </c>
      <c r="G124">
        <f t="shared" si="9"/>
        <v>75.89717107477891</v>
      </c>
      <c r="H124" s="7" t="s">
        <v>14</v>
      </c>
      <c r="I124" s="7" t="s">
        <v>18</v>
      </c>
      <c r="J124" s="7" t="s">
        <v>19</v>
      </c>
    </row>
    <row r="125" spans="2:10" ht="12.75">
      <c r="B125">
        <f>D124</f>
        <v>638.2012679692685</v>
      </c>
      <c r="D125">
        <f t="shared" si="8"/>
        <v>622.7535024078564</v>
      </c>
      <c r="E125" s="4">
        <f>Pr*$I$130*EXP(1.25*LN(B125-temp1))+($J$130*(B125*B125*B125*B125-t2_4))-($A$26*3.413)</f>
        <v>92.58420195468167</v>
      </c>
      <c r="F125" s="4">
        <f t="shared" si="10"/>
        <v>5.993371765425618</v>
      </c>
      <c r="G125">
        <f t="shared" si="9"/>
        <v>15.44776556141213</v>
      </c>
      <c r="H125" s="5">
        <f>re1*0.8</f>
        <v>0.8</v>
      </c>
      <c r="I125">
        <f>$G$18*$I$18/(EXP(0.25*LN($H$18)))</f>
        <v>0.2617406923272558</v>
      </c>
      <c r="J125">
        <f>0.000000001714*$I$18*H125*ra1</f>
        <v>1.0741207176858798E-09</v>
      </c>
    </row>
    <row r="126" spans="2:10" ht="12.75">
      <c r="B126">
        <f>D125</f>
        <v>622.7535024078564</v>
      </c>
      <c r="D126">
        <f t="shared" si="8"/>
        <v>621.6055473435713</v>
      </c>
      <c r="E126" s="4">
        <f>Pr*$I$130*EXP(1.25*LN(B126-temp1))+($J$130*(B126*B126*B126*B126-t2_4))-($A$26*3.413)</f>
        <v>5.893347237991716</v>
      </c>
      <c r="F126" s="4">
        <f t="shared" si="10"/>
        <v>5.133778682932667</v>
      </c>
      <c r="G126">
        <f t="shared" si="9"/>
        <v>1.1479550642851526</v>
      </c>
      <c r="H126" s="5">
        <f>re2*0.8</f>
        <v>0.8</v>
      </c>
      <c r="I126">
        <f>$G$19*$I$19/(EXP(0.25*LN($H$19)))+I125</f>
        <v>0.3780698889171472</v>
      </c>
      <c r="J126">
        <f>0.000000001714*$I$19*H126*ra2+J125</f>
        <v>2.1482414353717597E-09</v>
      </c>
    </row>
    <row r="127" spans="2:10" ht="12.75">
      <c r="B127">
        <f>D126</f>
        <v>621.6055473435713</v>
      </c>
      <c r="D127" s="3">
        <f t="shared" si="8"/>
        <v>621.5935460272661</v>
      </c>
      <c r="E127" s="4">
        <f>Pr*$I$130*EXP(1.25*LN(B127-temp1))+($J$130*(B127*B127*B127*B127-t2_4))-($A$26*3.413)</f>
        <v>0.06031513477440953</v>
      </c>
      <c r="F127" s="4">
        <f t="shared" si="10"/>
        <v>5.025709950529048</v>
      </c>
      <c r="G127" s="4">
        <f t="shared" si="9"/>
        <v>0.012001316305183958</v>
      </c>
      <c r="H127" s="5">
        <f>re3*0.8</f>
        <v>0.8</v>
      </c>
      <c r="I127">
        <f>$G$20*$I$20/(EXP(0.25*LN($H$20)))+I126</f>
        <v>0.5299163635819507</v>
      </c>
      <c r="J127">
        <f>0.000000001714*$I$20*H127*ra3+J126</f>
        <v>2.724598893642232E-09</v>
      </c>
    </row>
    <row r="128" spans="1:10" ht="12.75">
      <c r="A128" t="s">
        <v>20</v>
      </c>
      <c r="B128" s="4">
        <f>temp2</f>
        <v>900</v>
      </c>
      <c r="C128" t="s">
        <v>21</v>
      </c>
      <c r="D128" s="4">
        <f t="shared" si="8"/>
        <v>715.2226607815347</v>
      </c>
      <c r="E128" s="4">
        <f>Pr*$I$130*EXP(1.25*LN(B128-temp1))+($J$130*(B128*B128*B128*B128-t2_4))-($A$27*3.413)</f>
        <v>2804.8072623208423</v>
      </c>
      <c r="F128" s="4">
        <f t="shared" si="10"/>
        <v>15.179389822280495</v>
      </c>
      <c r="G128">
        <f t="shared" si="9"/>
        <v>184.77733921846527</v>
      </c>
      <c r="H128" s="5">
        <f>re4*0.8</f>
        <v>0.8</v>
      </c>
      <c r="I128">
        <f>$G$21*$I$21/(EXP(0.25*LN($H$21)))+I127</f>
        <v>0.5299163635819507</v>
      </c>
      <c r="J128">
        <f>0.000000001714*$I$21*H128*ra4+J127</f>
        <v>3.300956351912704E-09</v>
      </c>
    </row>
    <row r="129" spans="2:10" ht="12.75">
      <c r="B129">
        <f>D128</f>
        <v>715.2226607815347</v>
      </c>
      <c r="D129">
        <f aca="true" t="shared" si="11" ref="D129:D152">B129-G129</f>
        <v>640.5071650576332</v>
      </c>
      <c r="E129" s="4">
        <f>Pr*$I$130*EXP(1.25*LN(B129-temp1))+($J$130*(B129*B129*B129*B129-t2_4))-($A$27*3.413)</f>
        <v>640.5618689764887</v>
      </c>
      <c r="F129" s="4">
        <f t="shared" si="10"/>
        <v>8.573346971337463</v>
      </c>
      <c r="G129">
        <f t="shared" si="9"/>
        <v>74.71549572390157</v>
      </c>
      <c r="H129" s="5">
        <f>re5*0.8</f>
        <v>0.8</v>
      </c>
      <c r="I129">
        <f>$G$22*$I$22/(EXP(0.25*LN($H$22)))+I128</f>
        <v>0.6176023559940204</v>
      </c>
      <c r="J129">
        <f>0.000000001714*$I$22*H129*ra5+J128</f>
        <v>3.633782489787202E-09</v>
      </c>
    </row>
    <row r="130" spans="2:10" ht="12.75">
      <c r="B130">
        <f>D129</f>
        <v>640.5071650576332</v>
      </c>
      <c r="D130">
        <f t="shared" si="11"/>
        <v>625.8176540324802</v>
      </c>
      <c r="E130" s="4">
        <f>Pr*$I$130*EXP(1.25*LN(B130-temp1))+($J$130*(B130*B130*B130*B130-t2_4))-($A$27*3.413)</f>
        <v>89.4507889093437</v>
      </c>
      <c r="F130" s="4">
        <f t="shared" si="10"/>
        <v>6.089432708561628</v>
      </c>
      <c r="G130">
        <f t="shared" si="9"/>
        <v>14.68951102515306</v>
      </c>
      <c r="H130" s="5">
        <f>re6*0.8</f>
        <v>0.8</v>
      </c>
      <c r="I130" s="4">
        <f>$G$23*$I$23/(EXP(0.25*LN($H$23)))+I129</f>
        <v>0.70528834840609</v>
      </c>
      <c r="J130" s="4">
        <f>0.000000001714*$I$23*H130*ra6+J129</f>
        <v>3.9666086276617E-09</v>
      </c>
    </row>
    <row r="131" spans="2:7" ht="12.75">
      <c r="B131">
        <f>D130</f>
        <v>625.8176540324802</v>
      </c>
      <c r="D131">
        <f t="shared" si="11"/>
        <v>624.8990566915704</v>
      </c>
      <c r="E131" s="4">
        <f>Pr*$I$130*EXP(1.25*LN(B131-temp1))+($J$130*(B131*B131*B131*B131-t2_4))-($A$27*3.413)</f>
        <v>4.926463516501315</v>
      </c>
      <c r="F131" s="4">
        <f t="shared" si="10"/>
        <v>5.3630282792051105</v>
      </c>
      <c r="G131">
        <f t="shared" si="9"/>
        <v>0.9185973409096956</v>
      </c>
    </row>
    <row r="132" spans="2:7" ht="12.75">
      <c r="B132">
        <f>D131</f>
        <v>624.8990566915704</v>
      </c>
      <c r="D132" s="3">
        <f t="shared" si="11"/>
        <v>624.8937056085994</v>
      </c>
      <c r="E132" s="4">
        <f>Pr*$I$130*EXP(1.25*LN(B132-temp1))+($J$130*(B132*B132*B132*B132-t2_4))-($A$27*3.413)</f>
        <v>0.02836380894934365</v>
      </c>
      <c r="F132" s="4">
        <f t="shared" si="10"/>
        <v>5.300573566685044</v>
      </c>
      <c r="G132" s="4">
        <f t="shared" si="9"/>
        <v>0.005351082971023126</v>
      </c>
    </row>
    <row r="133" spans="1:7" ht="12.75">
      <c r="A133" t="s">
        <v>20</v>
      </c>
      <c r="B133" s="4">
        <f>temp2</f>
        <v>900</v>
      </c>
      <c r="C133" t="s">
        <v>21</v>
      </c>
      <c r="D133" s="4">
        <f t="shared" si="11"/>
        <v>716.346882519022</v>
      </c>
      <c r="E133" s="4">
        <f>Pr*$I$130*EXP(1.25*LN(B133-temp1))+($J$130*(B133*B133*B133*B133-t2_4))-($A$28*3.413)</f>
        <v>2787.742262320842</v>
      </c>
      <c r="F133" s="4">
        <f t="shared" si="10"/>
        <v>15.179389822280495</v>
      </c>
      <c r="G133">
        <f t="shared" si="9"/>
        <v>183.65311748097804</v>
      </c>
    </row>
    <row r="134" spans="2:7" ht="12.75">
      <c r="B134">
        <f>D133</f>
        <v>716.346882519022</v>
      </c>
      <c r="D134">
        <f t="shared" si="11"/>
        <v>642.7988747458342</v>
      </c>
      <c r="E134" s="4">
        <f>Pr*$I$130*EXP(1.25*LN(B134-temp1))+($J$130*(B134*B134*B134*B134-t2_4))-($A$28*3.413)</f>
        <v>633.1551007797697</v>
      </c>
      <c r="F134" s="4">
        <f t="shared" si="10"/>
        <v>8.608732173036357</v>
      </c>
      <c r="G134">
        <f t="shared" si="9"/>
        <v>73.54800777318778</v>
      </c>
    </row>
    <row r="135" spans="2:7" ht="12.75">
      <c r="B135">
        <f>D134</f>
        <v>642.7988747458342</v>
      </c>
      <c r="D135">
        <f t="shared" si="11"/>
        <v>628.8139886740913</v>
      </c>
      <c r="E135" s="4">
        <f>Pr*$I$130*EXP(1.25*LN(B135-temp1))+($J$130*(B135*B135*B135*B135-t2_4))-($A$28*3.413)</f>
        <v>86.447046445789</v>
      </c>
      <c r="F135" s="4">
        <f t="shared" si="10"/>
        <v>6.181462330283788</v>
      </c>
      <c r="G135">
        <f t="shared" si="9"/>
        <v>13.984886071742876</v>
      </c>
    </row>
    <row r="136" spans="2:7" ht="12.75">
      <c r="B136">
        <f>D135</f>
        <v>628.8139886740913</v>
      </c>
      <c r="D136">
        <f t="shared" si="11"/>
        <v>628.054748911839</v>
      </c>
      <c r="E136" s="4">
        <f>Pr*$I$130*EXP(1.25*LN(B136-temp1))+($J$130*(B136*B136*B136*B136-t2_4))-($A$28*3.413)</f>
        <v>4.209007415738093</v>
      </c>
      <c r="F136" s="4">
        <f t="shared" si="10"/>
        <v>5.543713099603678</v>
      </c>
      <c r="G136">
        <f t="shared" si="9"/>
        <v>0.7592397622523064</v>
      </c>
    </row>
    <row r="137" spans="2:7" ht="12.75">
      <c r="B137">
        <f>D136</f>
        <v>628.054748911839</v>
      </c>
      <c r="D137" s="3">
        <f t="shared" si="11"/>
        <v>628.0517918135308</v>
      </c>
      <c r="E137" s="4">
        <f>Pr*$I$130*EXP(1.25*LN(B137-temp1))+($J$130*(B137*B137*B137*B137-t2_4))-($A$28*3.413)</f>
        <v>0.01626584101472872</v>
      </c>
      <c r="F137" s="4">
        <f t="shared" si="10"/>
        <v>5.500608812883162</v>
      </c>
      <c r="G137" s="4">
        <f t="shared" si="9"/>
        <v>0.0029570983082148916</v>
      </c>
    </row>
    <row r="138" spans="1:7" ht="12.75">
      <c r="A138" t="s">
        <v>20</v>
      </c>
      <c r="B138" s="4">
        <f>temp2</f>
        <v>900</v>
      </c>
      <c r="C138" t="s">
        <v>21</v>
      </c>
      <c r="D138" s="4">
        <f t="shared" si="11"/>
        <v>717.4711042565091</v>
      </c>
      <c r="E138" s="4">
        <f>Pr*$I$130*EXP(1.25*LN(B138-temp1))+($J$130*(B138*B138*B138*B138-t2_4))-($A$29*3.413)</f>
        <v>2770.6772623208426</v>
      </c>
      <c r="F138" s="4">
        <f t="shared" si="10"/>
        <v>15.179389822280495</v>
      </c>
      <c r="G138">
        <f t="shared" si="9"/>
        <v>182.52889574349086</v>
      </c>
    </row>
    <row r="139" spans="2:7" ht="12.75">
      <c r="B139">
        <f>D138</f>
        <v>717.4711042565091</v>
      </c>
      <c r="D139">
        <f t="shared" si="11"/>
        <v>645.0765749675367</v>
      </c>
      <c r="E139" s="4">
        <f>Pr*$I$130*EXP(1.25*LN(B139-temp1))+($J$130*(B139*B139*B139*B139-t2_4))-($A$29*3.413)</f>
        <v>625.7881234662286</v>
      </c>
      <c r="F139" s="4">
        <f t="shared" si="10"/>
        <v>8.644135539141526</v>
      </c>
      <c r="G139">
        <f t="shared" si="9"/>
        <v>72.39452928897242</v>
      </c>
    </row>
    <row r="140" spans="2:7" ht="12.75">
      <c r="B140">
        <f>D139</f>
        <v>645.0765749675367</v>
      </c>
      <c r="D140">
        <f t="shared" si="11"/>
        <v>631.7493845486199</v>
      </c>
      <c r="E140" s="4">
        <f>Pr*$I$130*EXP(1.25*LN(B140-temp1))+($J$130*(B140*B140*B140*B140-t2_4))-($A$29*3.413)</f>
        <v>83.56301247938376</v>
      </c>
      <c r="F140" s="4">
        <f t="shared" si="10"/>
        <v>6.2701146942999895</v>
      </c>
      <c r="G140">
        <f t="shared" si="9"/>
        <v>13.32719041891672</v>
      </c>
    </row>
    <row r="141" spans="2:7" ht="12.75">
      <c r="B141">
        <f>D140</f>
        <v>631.7493845486199</v>
      </c>
      <c r="D141">
        <f t="shared" si="11"/>
        <v>631.1091962618179</v>
      </c>
      <c r="E141" s="4">
        <f>Pr*$I$130*EXP(1.25*LN(B141-temp1))+($J$130*(B141*B141*B141*B141-t2_4))-($A$29*3.413)</f>
        <v>3.6478846863549137</v>
      </c>
      <c r="F141" s="4">
        <f t="shared" si="10"/>
        <v>5.698143439296317</v>
      </c>
      <c r="G141">
        <f t="shared" si="9"/>
        <v>0.6401882868019559</v>
      </c>
    </row>
    <row r="142" spans="2:7" ht="12.75">
      <c r="B142">
        <f>D141</f>
        <v>631.1091962618179</v>
      </c>
      <c r="D142" s="3">
        <f t="shared" si="11"/>
        <v>631.1073799700926</v>
      </c>
      <c r="E142" s="4">
        <f>Pr*$I$130*EXP(1.25*LN(B142-temp1))+($J$130*(B142*B142*B142*B142-t2_4))-($A$29*3.413)</f>
        <v>0.010290887499991186</v>
      </c>
      <c r="F142" s="4">
        <f t="shared" si="10"/>
        <v>5.665878094309109</v>
      </c>
      <c r="G142" s="4">
        <f t="shared" si="9"/>
        <v>0.001816291725430433</v>
      </c>
    </row>
    <row r="143" spans="1:7" ht="12.75">
      <c r="A143" t="s">
        <v>20</v>
      </c>
      <c r="B143" s="4">
        <f>temp2</f>
        <v>900</v>
      </c>
      <c r="C143" t="s">
        <v>21</v>
      </c>
      <c r="D143" s="4">
        <f t="shared" si="11"/>
        <v>718.5953259939963</v>
      </c>
      <c r="E143" s="4">
        <f>Pr*$I$130*EXP(1.25*LN(B143-temp1))+($J$130*(B143*B143*B143*B143-t2_4))-($A$30*3.413)</f>
        <v>2753.6122623208425</v>
      </c>
      <c r="F143" s="4">
        <f t="shared" si="10"/>
        <v>15.179389822280495</v>
      </c>
      <c r="G143">
        <f aca="true" t="shared" si="12" ref="G143:G152">E143/F143</f>
        <v>181.40467400600363</v>
      </c>
    </row>
    <row r="144" spans="2:7" ht="12.75">
      <c r="B144">
        <f>D143</f>
        <v>718.5953259939963</v>
      </c>
      <c r="D144">
        <f t="shared" si="11"/>
        <v>647.3404395729798</v>
      </c>
      <c r="E144" s="4">
        <f>Pr*$I$130*EXP(1.25*LN(B144-temp1))+($J$130*(B144*B144*B144*B144-t2_4))-($A$30*3.413)</f>
        <v>618.4609582897722</v>
      </c>
      <c r="F144" s="4">
        <f t="shared" si="10"/>
        <v>8.679558544736636</v>
      </c>
      <c r="G144">
        <f t="shared" si="12"/>
        <v>71.2548864210165</v>
      </c>
    </row>
    <row r="145" spans="2:7" ht="12.75">
      <c r="B145">
        <f>D144</f>
        <v>647.3404395729798</v>
      </c>
      <c r="D145">
        <f t="shared" si="11"/>
        <v>634.6293674217064</v>
      </c>
      <c r="E145" s="4">
        <f>Pr*$I$130*EXP(1.25*LN(B145-temp1))+($J$130*(B145*B145*B145*B145-t2_4))-($A$30*3.413)</f>
        <v>80.79020101558433</v>
      </c>
      <c r="F145" s="4">
        <f t="shared" si="10"/>
        <v>6.355891938469655</v>
      </c>
      <c r="G145">
        <f t="shared" si="12"/>
        <v>12.711072151273337</v>
      </c>
    </row>
    <row r="146" spans="2:7" ht="12.75">
      <c r="B146">
        <f>D145</f>
        <v>634.6293674217064</v>
      </c>
      <c r="D146">
        <f t="shared" si="11"/>
        <v>634.0819971769303</v>
      </c>
      <c r="E146" s="4">
        <f>Pr*$I$130*EXP(1.25*LN(B146-temp1))+($J$130*(B146*B146*B146*B146-t2_4))-($A$30*3.413)</f>
        <v>3.1943254579096845</v>
      </c>
      <c r="F146" s="4">
        <f t="shared" si="10"/>
        <v>5.835767450632494</v>
      </c>
      <c r="G146">
        <f t="shared" si="12"/>
        <v>0.5473702447761992</v>
      </c>
    </row>
    <row r="147" spans="2:7" ht="12.75">
      <c r="B147">
        <f>D146</f>
        <v>634.0819971769303</v>
      </c>
      <c r="D147" s="3">
        <f t="shared" si="11"/>
        <v>634.0808073767153</v>
      </c>
      <c r="E147" s="4">
        <f>Pr*$I$130*EXP(1.25*LN(B147-temp1))+($J$130*(B147*B147*B147*B147-t2_4))-($A$30*3.413)</f>
        <v>0.006913272818621863</v>
      </c>
      <c r="F147" s="4">
        <f t="shared" si="10"/>
        <v>5.810448452856448</v>
      </c>
      <c r="G147" s="4">
        <f t="shared" si="12"/>
        <v>0.0011898002150287144</v>
      </c>
    </row>
    <row r="148" spans="1:7" ht="12.75">
      <c r="A148" t="s">
        <v>20</v>
      </c>
      <c r="B148" s="4">
        <f>temp2</f>
        <v>900</v>
      </c>
      <c r="C148" t="s">
        <v>21</v>
      </c>
      <c r="D148" s="4">
        <f t="shared" si="11"/>
        <v>719.7195477314835</v>
      </c>
      <c r="E148" s="4">
        <f>Pr*$I$130*EXP(1.25*LN(B148-temp1))+($J$130*(B148*B148*B148*B148-t2_4))-($A$31*3.413)</f>
        <v>2736.5472623208425</v>
      </c>
      <c r="F148" s="4">
        <f t="shared" si="10"/>
        <v>15.179389822280495</v>
      </c>
      <c r="G148">
        <f t="shared" si="12"/>
        <v>180.2804522685164</v>
      </c>
    </row>
    <row r="149" spans="2:7" ht="12.75">
      <c r="B149">
        <f>D148</f>
        <v>719.7195477314835</v>
      </c>
      <c r="D149">
        <f t="shared" si="11"/>
        <v>649.590638479816</v>
      </c>
      <c r="E149" s="4">
        <f>Pr*$I$130*EXP(1.25*LN(B149-temp1))+($J$130*(B149*B149*B149*B149-t2_4))-($A$31*3.413)</f>
        <v>611.1736281394122</v>
      </c>
      <c r="F149" s="4">
        <f t="shared" si="10"/>
        <v>8.715002623898355</v>
      </c>
      <c r="G149">
        <f t="shared" si="12"/>
        <v>70.12890925166754</v>
      </c>
    </row>
    <row r="150" spans="2:7" ht="12.75">
      <c r="B150">
        <f>D149</f>
        <v>649.590638479816</v>
      </c>
      <c r="D150">
        <f t="shared" si="11"/>
        <v>637.4584767326281</v>
      </c>
      <c r="E150" s="4">
        <f>Pr*$I$130*EXP(1.25*LN(B150-temp1))+($J$130*(B150*B150*B150*B150-t2_4))-($A$31*3.413)</f>
        <v>78.12127810611535</v>
      </c>
      <c r="F150" s="4">
        <f t="shared" si="10"/>
        <v>6.439188640410508</v>
      </c>
      <c r="G150">
        <f t="shared" si="12"/>
        <v>12.132161747187919</v>
      </c>
    </row>
    <row r="151" spans="2:7" ht="12.75">
      <c r="B151">
        <f>D150</f>
        <v>637.4584767326281</v>
      </c>
      <c r="D151">
        <f t="shared" si="11"/>
        <v>636.9855870038278</v>
      </c>
      <c r="E151" s="4">
        <f>Pr*$I$130*EXP(1.25*LN(B151-temp1))+($J$130*(B151*B151*B151*B151-t2_4))-($A$31*3.413)</f>
        <v>2.819162709957098</v>
      </c>
      <c r="F151" s="4">
        <f t="shared" si="10"/>
        <v>5.9615646910100555</v>
      </c>
      <c r="G151">
        <f t="shared" si="12"/>
        <v>0.4728897288002847</v>
      </c>
    </row>
    <row r="152" spans="2:7" ht="12.75">
      <c r="B152">
        <f>D151</f>
        <v>636.9855870038278</v>
      </c>
      <c r="D152" s="3">
        <f t="shared" si="11"/>
        <v>636.9847726870591</v>
      </c>
      <c r="E152" s="4">
        <f>Pr*$I$130*EXP(1.25*LN(B152-temp1))+($J$130*(B152*B152*B152*B152-t2_4))-($A$31*3.413)</f>
        <v>0.004837913715292075</v>
      </c>
      <c r="F152" s="4">
        <f t="shared" si="10"/>
        <v>5.941070970663846</v>
      </c>
      <c r="G152" s="4">
        <f t="shared" si="12"/>
        <v>0.0008143167686736948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</dc:creator>
  <cp:keywords/>
  <dc:description/>
  <cp:lastModifiedBy>Erich</cp:lastModifiedBy>
  <dcterms:created xsi:type="dcterms:W3CDTF">2003-09-23T22:19:18Z</dcterms:created>
  <dcterms:modified xsi:type="dcterms:W3CDTF">2006-06-22T16:06:55Z</dcterms:modified>
  <cp:category/>
  <cp:version/>
  <cp:contentType/>
  <cp:contentStatus/>
</cp:coreProperties>
</file>