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in" sheetId="1" r:id="rId1"/>
    <sheet name="Material" sheetId="2" r:id="rId2"/>
    <sheet name="Test_dat" sheetId="3" r:id="rId3"/>
    <sheet name="guidelines" sheetId="4" r:id="rId4"/>
  </sheets>
  <definedNames>
    <definedName name="a_Fe">'Main'!$B$29</definedName>
    <definedName name="B_derate">'Main'!$B$11</definedName>
    <definedName name="B_drt">'Main'!$J$24</definedName>
    <definedName name="Bp">'Main'!#REF!</definedName>
    <definedName name="Bp_Vs">'Main'!$M$23</definedName>
    <definedName name="core_mat">'Main'!#REF!</definedName>
    <definedName name="core_mat_offs">'Main'!#REF!</definedName>
    <definedName name="DCu">'Main'!$B$20</definedName>
    <definedName name="di">'Main'!$B$10</definedName>
    <definedName name="do">'Main'!$C$10</definedName>
    <definedName name="err_ndx">'Main'!#REF!</definedName>
    <definedName name="f">'Main'!$B$18</definedName>
    <definedName name="f_spec">'Material'!$C$3</definedName>
    <definedName name="f_test">'Test_dat'!$J$1</definedName>
    <definedName name="Fe">'Main'!$F$30</definedName>
    <definedName name="Fe_fill">'Main'!$F$10</definedName>
    <definedName name="Ima_Imr">'Main'!#REF!</definedName>
    <definedName name="Imr_corr">'Main'!$L$21</definedName>
    <definedName name="Ipcalc">'Main'!$L$32</definedName>
    <definedName name="Ir">'Main'!#REF!</definedName>
    <definedName name="Ircalc">'Main'!$T$28</definedName>
    <definedName name="l_Fe">'Main'!$B$28</definedName>
    <definedName name="Lmr_corr">'Main'!$L$23</definedName>
    <definedName name="Lmr_exp">'Main'!$L$22</definedName>
    <definedName name="m_Fe">'Main'!$B$40</definedName>
    <definedName name="mag_crrnt">'Main'!#REF!</definedName>
    <definedName name="mu_0">'Main'!$B$39</definedName>
    <definedName name="mu_r">'Main'!#REF!</definedName>
    <definedName name="N">'Main'!$B$14</definedName>
    <definedName name="new">'Material'!$J$11</definedName>
    <definedName name="new1">'Material'!$J$11</definedName>
    <definedName name="Nt">'Main'!$B$14</definedName>
    <definedName name="Ntst">'Main'!$B$19</definedName>
    <definedName name="pi2">'Main'!$B$36</definedName>
    <definedName name="r_Fe">'Main'!$B$40</definedName>
    <definedName name="Rb">'Main'!$B$25</definedName>
    <definedName name="Rcu">'Main'!$B$38</definedName>
    <definedName name="Rrel">'Main'!$B$16</definedName>
    <definedName name="Rs">'Main'!$B$24</definedName>
    <definedName name="Rsx">'Main'!$B$23</definedName>
    <definedName name="sqrt2">'Main'!$B$37</definedName>
    <definedName name="th">'Main'!$E$10</definedName>
    <definedName name="ttype">'Material'!#REF!</definedName>
    <definedName name="type">'Main'!$B$12</definedName>
    <definedName name="V_steps">'Main'!$B$41</definedName>
    <definedName name="Vfs">'Main'!$C$22</definedName>
    <definedName name="Vp_t">'Main'!#REF!</definedName>
    <definedName name="Vref">'Main'!#REF!</definedName>
    <definedName name="Vs">'Main'!$C$13</definedName>
    <definedName name="Vscalc">'Main'!#REF!</definedName>
    <definedName name="Vsec">'Main'!#REF!</definedName>
    <definedName name="Vsec__V">'Main'!#REF!</definedName>
    <definedName name="Vsec_V">'Main'!#REF!</definedName>
    <definedName name="width">'Main'!$D$10</definedName>
  </definedNames>
  <calcPr fullCalcOnLoad="1"/>
</workbook>
</file>

<file path=xl/sharedStrings.xml><?xml version="1.0" encoding="utf-8"?>
<sst xmlns="http://schemas.openxmlformats.org/spreadsheetml/2006/main" count="577" uniqueCount="257">
  <si>
    <t>Toroidal CT design</t>
  </si>
  <si>
    <t>Notes:</t>
  </si>
  <si>
    <t>Vp_pp</t>
  </si>
  <si>
    <t>Entered by user in this color</t>
  </si>
  <si>
    <t>Np</t>
  </si>
  <si>
    <r>
      <t>calculated results</t>
    </r>
    <r>
      <rPr>
        <sz val="8"/>
        <rFont val="Arial"/>
        <family val="2"/>
      </rPr>
      <t xml:space="preserve"> in these colors</t>
    </r>
  </si>
  <si>
    <t>Ip_pp(mA)</t>
  </si>
  <si>
    <t>Vt_pp</t>
  </si>
  <si>
    <r>
      <t xml:space="preserve">Read </t>
    </r>
    <r>
      <rPr>
        <b/>
        <sz val="8"/>
        <rFont val="Arial"/>
        <family val="2"/>
      </rPr>
      <t>guidelines</t>
    </r>
    <r>
      <rPr>
        <sz val="8"/>
        <rFont val="Arial"/>
        <family val="2"/>
      </rPr>
      <t xml:space="preserve"> sheet</t>
    </r>
  </si>
  <si>
    <t>Rser(k)</t>
  </si>
  <si>
    <t>Scroll down for more graphs</t>
  </si>
  <si>
    <t>Vr_pp</t>
  </si>
  <si>
    <t>di [mm]</t>
  </si>
  <si>
    <t>do [mm]</t>
  </si>
  <si>
    <t>th [mm]</t>
  </si>
  <si>
    <t>Fe-fillfactor</t>
  </si>
  <si>
    <t>core dimensions:</t>
  </si>
  <si>
    <t>ln(B)</t>
  </si>
  <si>
    <t>ln(mu_r)</t>
  </si>
  <si>
    <t>B-derating [%]</t>
  </si>
  <si>
    <t>Vsec</t>
  </si>
  <si>
    <t>Ip</t>
  </si>
  <si>
    <t>B</t>
  </si>
  <si>
    <t>mV/T (prm)</t>
  </si>
  <si>
    <t>rel.err</t>
  </si>
  <si>
    <t>Im(prm)</t>
  </si>
  <si>
    <t>err</t>
  </si>
  <si>
    <t>Ip_ideal</t>
  </si>
  <si>
    <t>psi</t>
  </si>
  <si>
    <t>I_b+rm(prm)</t>
  </si>
  <si>
    <t>Rm(prm)</t>
  </si>
  <si>
    <t>Lm(prm)</t>
  </si>
  <si>
    <t>mu_r</t>
  </si>
  <si>
    <t>phi</t>
  </si>
  <si>
    <t>1.5*Ip_ideal</t>
  </si>
  <si>
    <t>H</t>
  </si>
  <si>
    <t>Core Material = index into &lt;Material&gt; table</t>
  </si>
  <si>
    <t>[Vrms]</t>
  </si>
  <si>
    <t>[mArms]</t>
  </si>
  <si>
    <t>[mT]</t>
  </si>
  <si>
    <t>[mVrms]</t>
  </si>
  <si>
    <t>[%]</t>
  </si>
  <si>
    <t>[deg]</t>
  </si>
  <si>
    <t>[Ohms]</t>
  </si>
  <si>
    <t>[mH]</t>
  </si>
  <si>
    <t>[A/cm]</t>
  </si>
  <si>
    <t>Vsec [Vrms] = start of range &lt;Vsec&gt;</t>
  </si>
  <si>
    <t xml:space="preserve"> →</t>
  </si>
  <si>
    <t>Nsec [T]</t>
  </si>
  <si>
    <t>Ip aim [mArms]</t>
  </si>
  <si>
    <t>ln(mu_r)=a1*ln(B) + b1</t>
  </si>
  <si>
    <t>R_Relay[Ohms]</t>
  </si>
  <si>
    <t>a1</t>
  </si>
  <si>
    <t>b1</t>
  </si>
  <si>
    <t>Cu-coverage</t>
  </si>
  <si>
    <t>f [Hz]</t>
  </si>
  <si>
    <t>N: test winding</t>
  </si>
  <si>
    <t>d_Cu [mm]</t>
  </si>
  <si>
    <t>ln(phi)</t>
  </si>
  <si>
    <t>max.d_Cu</t>
  </si>
  <si>
    <t>F.S. voltage [Vrms]</t>
  </si>
  <si>
    <t>ser.Resistance [Ohms]: extra resistance between signal winding and burden</t>
  </si>
  <si>
    <t>H[A/cm]</t>
  </si>
  <si>
    <t>B [mT]</t>
  </si>
  <si>
    <t>mV/turn</t>
  </si>
  <si>
    <t>%err(0) = total error at Vsec-min</t>
  </si>
  <si>
    <r>
      <t>Rs [Ohms]</t>
    </r>
    <r>
      <rPr>
        <sz val="10"/>
        <rFont val="Arial"/>
        <family val="2"/>
      </rPr>
      <t xml:space="preserve"> = wire resistance</t>
    </r>
  </si>
  <si>
    <t>Rb(total) [Ohms]</t>
  </si>
  <si>
    <t>ln(phi)   =a2*ln(B) + b2</t>
  </si>
  <si>
    <t>Rcal [Ohms]</t>
  </si>
  <si>
    <t>%err(1) = total error at Vsec-max=F.S.voltage</t>
  </si>
  <si>
    <t>a2</t>
  </si>
  <si>
    <t>b2</t>
  </si>
  <si>
    <t>M_Fe [gm]</t>
  </si>
  <si>
    <t>l_Fe [cm]</t>
  </si>
  <si>
    <t>Iterations to determine Rb</t>
  </si>
  <si>
    <t>a_Fe [cm**2]</t>
  </si>
  <si>
    <t>Rb</t>
  </si>
  <si>
    <t>try Rb</t>
  </si>
  <si>
    <t>V(prm)</t>
  </si>
  <si>
    <t>Xl_sec[Ohms] = reactance (ind.) on sec.winding at Vsec-max=F.S.voltage</t>
  </si>
  <si>
    <t>Im(prm)@Vsec-min [mA]</t>
  </si>
  <si>
    <t>Im(sec)@Vsec-min [mA]</t>
  </si>
  <si>
    <t>Im(prm)@Vsec-max [mA]</t>
  </si>
  <si>
    <t>Im(sec)@Vsec-max [mA]</t>
  </si>
  <si>
    <t xml:space="preserve"> &lt;- F.S.voltage / Xl_sec [mA]</t>
  </si>
  <si>
    <t>Constants</t>
  </si>
  <si>
    <t>pi*2</t>
  </si>
  <si>
    <t>sqrt2</t>
  </si>
  <si>
    <t>Rcu [Ohm-m]</t>
  </si>
  <si>
    <t>mu_0 [H/m]</t>
  </si>
  <si>
    <t>m_Fe[kg/m**3]</t>
  </si>
  <si>
    <t>V-steps</t>
  </si>
  <si>
    <t>wire sizes (mm Dia)</t>
  </si>
  <si>
    <t>nominal</t>
  </si>
  <si>
    <t>outer Dia</t>
  </si>
  <si>
    <t>Material characteristics</t>
  </si>
  <si>
    <t>taken from measurements</t>
  </si>
  <si>
    <t>taken or calculated from graphs or tables</t>
  </si>
  <si>
    <t xml:space="preserve"> @ f [Hz]:</t>
  </si>
  <si>
    <t>calculated</t>
  </si>
  <si>
    <t>ndx</t>
  </si>
  <si>
    <t>Material type</t>
  </si>
  <si>
    <t>m_Fe [kg/m**3]</t>
  </si>
  <si>
    <t>mu_r(stat)</t>
  </si>
  <si>
    <t>W/kg</t>
  </si>
  <si>
    <t>Comments</t>
  </si>
  <si>
    <t>W/kg_calculated from B[mT], using a and b</t>
  </si>
  <si>
    <t>ln(W/kg)</t>
  </si>
  <si>
    <t>a</t>
  </si>
  <si>
    <t>b</t>
  </si>
  <si>
    <t>SM200</t>
  </si>
  <si>
    <t>Mumetall 0.2mm / CBI Relay core</t>
  </si>
  <si>
    <t>SM150 (TC55/100)</t>
  </si>
  <si>
    <t>Permenorm 5050 H4: 0.1mm</t>
  </si>
  <si>
    <t>bottom of knee region</t>
  </si>
  <si>
    <t>Kawasaki, annealed, MOH 0,29 / 23H90-3</t>
  </si>
  <si>
    <t>23ZH90/95/ M-0H (rect.core) /// Trafoperm N2: 0.3mm</t>
  </si>
  <si>
    <t>mag_23H90 (silicon steel, magnetised)</t>
  </si>
  <si>
    <t>magnetised silicon-steel core - phase shifts are assumptions</t>
  </si>
  <si>
    <t>N27</t>
  </si>
  <si>
    <t>mW/g at 25kHz</t>
  </si>
  <si>
    <t>T24pnk</t>
  </si>
  <si>
    <t>T20yl</t>
  </si>
  <si>
    <t>R4K</t>
  </si>
  <si>
    <t>U93</t>
  </si>
  <si>
    <t>at 250Hz</t>
  </si>
  <si>
    <t>E42/15</t>
  </si>
  <si>
    <t>at 155kHz</t>
  </si>
  <si>
    <t>Gap=0.5</t>
  </si>
  <si>
    <t>at 25kHz</t>
  </si>
  <si>
    <t>m_Fe</t>
  </si>
  <si>
    <t>[kg/m**3]</t>
  </si>
  <si>
    <t>TC30X</t>
  </si>
  <si>
    <t>SM150</t>
  </si>
  <si>
    <t>TC30X-b</t>
  </si>
  <si>
    <t>mag_23H90 (silicon steel)</t>
  </si>
  <si>
    <t>AMC23ZH90 (silicon steel)</t>
  </si>
  <si>
    <t>taken from data sheet</t>
  </si>
  <si>
    <t>MS2</t>
  </si>
  <si>
    <t>amc23H90 (silicon steel)</t>
  </si>
  <si>
    <t>temp.(CBI)</t>
  </si>
  <si>
    <t>AMCjencore</t>
  </si>
  <si>
    <t>small red toroid samples</t>
  </si>
  <si>
    <t>50VA_50Hz</t>
  </si>
  <si>
    <t>R10K</t>
  </si>
  <si>
    <t>50VA_41_69_19</t>
  </si>
  <si>
    <t>L</t>
  </si>
  <si>
    <t>TC55DC(2)</t>
  </si>
  <si>
    <t>Toroid-CT test data (open secondary)</t>
  </si>
  <si>
    <t>f [Hz]:</t>
  </si>
  <si>
    <t>di</t>
  </si>
  <si>
    <t>do</t>
  </si>
  <si>
    <t>w</t>
  </si>
  <si>
    <t>th</t>
  </si>
  <si>
    <t>n_Fe</t>
  </si>
  <si>
    <t>Nsec</t>
  </si>
  <si>
    <t>Imr(0)</t>
  </si>
  <si>
    <t>Rs</t>
  </si>
  <si>
    <t>a_Fe</t>
  </si>
  <si>
    <t>l_Fe</t>
  </si>
  <si>
    <t>V(R_prm_20R): voltage across resistor in series with primary current (prim.res.)</t>
  </si>
  <si>
    <t>V(comp+): voltage across prim.res. + Vsec</t>
  </si>
  <si>
    <t>Vcomp-: voltage across prim.res. - Vsec</t>
  </si>
  <si>
    <t>[mm]</t>
  </si>
  <si>
    <t>[T]</t>
  </si>
  <si>
    <t>[Ohms/T]</t>
  </si>
  <si>
    <t>[cm**2]</t>
  </si>
  <si>
    <t>[cm]</t>
  </si>
  <si>
    <t>[V]</t>
  </si>
  <si>
    <t xml:space="preserve"> -&gt;ideal</t>
  </si>
  <si>
    <t>A30</t>
  </si>
  <si>
    <t>A55-DC</t>
  </si>
  <si>
    <t>A100</t>
  </si>
  <si>
    <t>TC100T</t>
  </si>
  <si>
    <t>THD [%]:3.21</t>
  </si>
  <si>
    <t>slight sine deformation</t>
  </si>
  <si>
    <t>TC55DC</t>
  </si>
  <si>
    <t>THD [%]:0.05</t>
  </si>
  <si>
    <t>THD [%]:0.52</t>
  </si>
  <si>
    <t>TC33X</t>
  </si>
  <si>
    <t>THD [%]:0.77</t>
  </si>
  <si>
    <t>THD [%]:2</t>
  </si>
  <si>
    <t>slight deformation</t>
  </si>
  <si>
    <t>almost triangular</t>
  </si>
  <si>
    <t>AMC23H90 (silicon steel)</t>
  </si>
  <si>
    <t>just before sat.n</t>
  </si>
  <si>
    <t>Kawasaki, annealed, MOH 0,29</t>
  </si>
  <si>
    <t>23H90-3</t>
  </si>
  <si>
    <t>preferred</t>
  </si>
  <si>
    <t>CBI_a</t>
  </si>
  <si>
    <t>23ZH90/95/ M-0H: rectangular core, di &amp; do are equivalent dimensions of a circular core</t>
  </si>
  <si>
    <t>rect_260</t>
  </si>
  <si>
    <t>U15_N27</t>
  </si>
  <si>
    <t>rect_380</t>
  </si>
  <si>
    <t>V-coil</t>
  </si>
  <si>
    <t>V-ser.res</t>
  </si>
  <si>
    <t>V-res+coil</t>
  </si>
  <si>
    <t>s-phi</t>
  </si>
  <si>
    <t>Vc</t>
  </si>
  <si>
    <t>V(Rser)</t>
  </si>
  <si>
    <t>Vt</t>
  </si>
  <si>
    <t>Rser</t>
  </si>
  <si>
    <t>Guidelines for the design of a CT</t>
  </si>
  <si>
    <r>
      <t xml:space="preserve">The Main sheet is used to calculate the </t>
    </r>
    <r>
      <rPr>
        <b/>
        <sz val="10"/>
        <rFont val="Arial"/>
        <family val="2"/>
      </rPr>
      <t>no.of turns, wire size, burden resistance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%error</t>
    </r>
    <r>
      <rPr>
        <sz val="10"/>
        <rFont val="Arial"/>
        <family val="2"/>
      </rPr>
      <t xml:space="preserve"> for a range of output voltages and primary currents</t>
    </r>
  </si>
  <si>
    <t>Parameters to be entered:</t>
  </si>
  <si>
    <t>di-do-w-th [mm]:</t>
  </si>
  <si>
    <t>toroid dimensions:</t>
  </si>
  <si>
    <t xml:space="preserve"> di= inside diameter, do=outside diameter, w=width, th=thickness of core enclosure</t>
  </si>
  <si>
    <t>Fe-fillfactor=area fill of laminations</t>
  </si>
  <si>
    <t>% by which the flux density is reduced in the B-H curve (to see change in results), Fe-losses are related to original B-H curve using new flux density</t>
  </si>
  <si>
    <t>Core Material</t>
  </si>
  <si>
    <t>Choose a material from the "Material" sheet. This determines the B-H curve and core losses</t>
  </si>
  <si>
    <t>Tip: to find the index no.from the B-H graph in the &lt;Material&gt; sheet, put the mouse pointer on a unique point of the desired curve - a box will indicate the curve index</t>
  </si>
  <si>
    <t>Vsec [Vrms]</t>
  </si>
  <si>
    <t>the nominal secondary voltage = start of the operating range, it corresponds to the nominal primary current</t>
  </si>
  <si>
    <r>
      <t xml:space="preserve">number of secondary turns - this will typically be </t>
    </r>
    <r>
      <rPr>
        <b/>
        <sz val="10"/>
        <rFont val="Arial"/>
        <family val="2"/>
      </rPr>
      <t>experiment</t>
    </r>
    <r>
      <rPr>
        <sz val="10"/>
        <rFont val="Arial"/>
        <family val="2"/>
      </rPr>
      <t>ed with</t>
    </r>
  </si>
  <si>
    <t>nominal primary current = start of the operating range</t>
  </si>
  <si>
    <t>R_Relay [Ohms]</t>
  </si>
  <si>
    <t>load of the instrument connected to (and in addition to) the CT-burden &lt;Rcal&gt;</t>
  </si>
  <si>
    <t>portion of the toroid covered by the winding</t>
  </si>
  <si>
    <t>f [Hz}</t>
  </si>
  <si>
    <t>system frequency</t>
  </si>
  <si>
    <t>number of turns of a test winding (this is only used to allocate space on the toroid for wire calculations)</t>
  </si>
  <si>
    <t>F.S.voltage [Vrms]</t>
  </si>
  <si>
    <t>the maximum voltage in the operating range</t>
  </si>
  <si>
    <t>Results to be checked (while changing inputs like Nsec):</t>
  </si>
  <si>
    <t>Check the graph of "B" vs. "V/Turn" to be inside the table values shown by the 2 enclosing lines (supposed to be the range below saturation)</t>
  </si>
  <si>
    <t>%err(0)</t>
  </si>
  <si>
    <t>error due to mag.current &amp; Fe-losses at Vsec, to be acceptable (say &lt;50%), also shown by the graph of &lt;Ip&gt; vs. &lt;Vsec&gt; with 50%-line</t>
  </si>
  <si>
    <t>rel.err [%]</t>
  </si>
  <si>
    <t>error over the operating range, assuming calibration at Vsec</t>
  </si>
  <si>
    <t>Results needed for construction:</t>
  </si>
  <si>
    <t>nominal wire diameter - according to a table with the range of 0.14 - 1mm</t>
  </si>
  <si>
    <t>resistance to be connected to CT (in addition to the instrument)</t>
  </si>
  <si>
    <t>Other results:</t>
  </si>
  <si>
    <t>Rb [Ohms]</t>
  </si>
  <si>
    <t>the total burden connected to the CT (= &lt;Rcal&gt; in parallel with &lt;R_Relay&gt;)</t>
  </si>
  <si>
    <t>Rs [Ohms]</t>
  </si>
  <si>
    <t>wire resistance</t>
  </si>
  <si>
    <t>mass of core material</t>
  </si>
  <si>
    <t>magnetic path length</t>
  </si>
  <si>
    <t>magnetic cross section area</t>
  </si>
  <si>
    <t>Procedure when the voltage range on the burden is known:</t>
  </si>
  <si>
    <t>Assuming &lt;di&gt;, &lt;do&gt;, and &lt;w&gt; are known, start off with some number of secondary turns (N)</t>
  </si>
  <si>
    <t>(when calculations are out of limits it usually helps to increase N)</t>
  </si>
  <si>
    <t>Estimate for power transformer</t>
  </si>
  <si>
    <t>P (mW)</t>
  </si>
  <si>
    <t>C – operation type</t>
  </si>
  <si>
    <t>f (kHz)</t>
  </si>
  <si>
    <t>Del-B (T) – peak magn.flux</t>
  </si>
  <si>
    <t>S (A/mm**2) – current density</t>
  </si>
  <si>
    <t>f(cu) – packing factor of winding</t>
  </si>
  <si>
    <t>A(N) (mm**2) – Spulenquerschnitt</t>
  </si>
  <si>
    <t>A(e) (mm**2) – eff.magn.Querschnitt</t>
  </si>
  <si>
    <t>EF12.6</t>
  </si>
  <si>
    <t>EF16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</si>
</sst>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#,##0"/>
  </numFmts>
  <fonts count="21"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b/>
      <sz val="5.75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sz val="15.5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0" xfId="0" applyFill="1" applyBorder="1" applyAlignment="1">
      <alignment/>
    </xf>
    <xf numFmtId="164" fontId="3" fillId="2" borderId="3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4" fillId="3" borderId="3" xfId="0" applyFont="1" applyFill="1" applyBorder="1" applyAlignment="1">
      <alignment/>
    </xf>
    <xf numFmtId="164" fontId="0" fillId="4" borderId="4" xfId="0" applyFill="1" applyBorder="1" applyAlignment="1">
      <alignment/>
    </xf>
    <xf numFmtId="164" fontId="3" fillId="5" borderId="0" xfId="0" applyFont="1" applyFill="1" applyAlignment="1">
      <alignment/>
    </xf>
    <xf numFmtId="164" fontId="3" fillId="0" borderId="3" xfId="0" applyFont="1" applyBorder="1" applyAlignment="1">
      <alignment/>
    </xf>
    <xf numFmtId="164" fontId="0" fillId="0" borderId="4" xfId="0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3" fillId="0" borderId="0" xfId="0" applyFont="1" applyFill="1" applyAlignment="1" applyProtection="1">
      <alignment/>
      <protection locked="0"/>
    </xf>
    <xf numFmtId="164" fontId="3" fillId="0" borderId="0" xfId="0" applyFont="1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5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3" fillId="0" borderId="9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0" fillId="5" borderId="0" xfId="0" applyFill="1" applyAlignment="1">
      <alignment horizontal="center"/>
    </xf>
    <xf numFmtId="164" fontId="3" fillId="0" borderId="0" xfId="0" applyFont="1" applyAlignment="1">
      <alignment horizontal="left"/>
    </xf>
    <xf numFmtId="164" fontId="0" fillId="2" borderId="0" xfId="0" applyFill="1" applyBorder="1" applyAlignment="1" applyProtection="1">
      <alignment/>
      <protection locked="0"/>
    </xf>
    <xf numFmtId="164" fontId="3" fillId="0" borderId="10" xfId="0" applyFont="1" applyBorder="1" applyAlignment="1">
      <alignment horizontal="center"/>
    </xf>
    <xf numFmtId="164" fontId="3" fillId="0" borderId="11" xfId="0" applyFont="1" applyFill="1" applyBorder="1" applyAlignment="1">
      <alignment/>
    </xf>
    <xf numFmtId="164" fontId="3" fillId="0" borderId="0" xfId="0" applyFont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4" borderId="0" xfId="0" applyNumberFormat="1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6" borderId="0" xfId="0" applyFill="1" applyBorder="1" applyAlignment="1">
      <alignment horizontal="center"/>
    </xf>
    <xf numFmtId="164" fontId="0" fillId="6" borderId="0" xfId="0" applyFill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/>
    </xf>
    <xf numFmtId="164" fontId="0" fillId="2" borderId="0" xfId="0" applyFill="1" applyBorder="1" applyAlignment="1" applyProtection="1">
      <alignment/>
      <protection locked="0"/>
    </xf>
    <xf numFmtId="164" fontId="0" fillId="0" borderId="10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5" fillId="0" borderId="0" xfId="0" applyFont="1" applyAlignment="1">
      <alignment/>
    </xf>
    <xf numFmtId="164" fontId="0" fillId="3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2" borderId="12" xfId="0" applyFill="1" applyBorder="1" applyAlignment="1" applyProtection="1">
      <alignment horizontal="center"/>
      <protection locked="0"/>
    </xf>
    <xf numFmtId="164" fontId="0" fillId="4" borderId="13" xfId="0" applyNumberFormat="1" applyFont="1" applyFill="1" applyBorder="1" applyAlignment="1">
      <alignment horizontal="center"/>
    </xf>
    <xf numFmtId="164" fontId="0" fillId="5" borderId="13" xfId="0" applyFill="1" applyBorder="1" applyAlignment="1">
      <alignment horizontal="center"/>
    </xf>
    <xf numFmtId="164" fontId="3" fillId="5" borderId="0" xfId="0" applyFont="1" applyFill="1" applyBorder="1" applyAlignment="1">
      <alignment/>
    </xf>
    <xf numFmtId="164" fontId="0" fillId="3" borderId="0" xfId="0" applyFill="1" applyAlignment="1">
      <alignment/>
    </xf>
    <xf numFmtId="164" fontId="0" fillId="5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Font="1" applyFill="1" applyAlignment="1">
      <alignment/>
    </xf>
    <xf numFmtId="164" fontId="0" fillId="3" borderId="0" xfId="0" applyFill="1" applyAlignment="1" applyProtection="1">
      <alignment/>
      <protection locked="0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0" fillId="5" borderId="0" xfId="0" applyNumberForma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8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7" borderId="1" xfId="0" applyFont="1" applyFill="1" applyBorder="1" applyAlignment="1">
      <alignment/>
    </xf>
    <xf numFmtId="164" fontId="0" fillId="7" borderId="14" xfId="0" applyFill="1" applyBorder="1" applyAlignment="1">
      <alignment/>
    </xf>
    <xf numFmtId="164" fontId="0" fillId="7" borderId="2" xfId="0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15" xfId="0" applyFont="1" applyBorder="1" applyAlignment="1">
      <alignment/>
    </xf>
    <xf numFmtId="164" fontId="0" fillId="2" borderId="16" xfId="0" applyFill="1" applyBorder="1" applyAlignment="1" applyProtection="1">
      <alignment/>
      <protection locked="0"/>
    </xf>
    <xf numFmtId="164" fontId="0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3" fillId="0" borderId="17" xfId="0" applyFont="1" applyBorder="1" applyAlignment="1">
      <alignment/>
    </xf>
    <xf numFmtId="164" fontId="7" fillId="0" borderId="17" xfId="0" applyFont="1" applyBorder="1" applyAlignment="1">
      <alignment/>
    </xf>
    <xf numFmtId="164" fontId="0" fillId="0" borderId="17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8" xfId="0" applyFont="1" applyBorder="1" applyAlignment="1">
      <alignment/>
    </xf>
    <xf numFmtId="164" fontId="0" fillId="8" borderId="0" xfId="0" applyFill="1" applyAlignment="1">
      <alignment/>
    </xf>
    <xf numFmtId="164" fontId="0" fillId="8" borderId="0" xfId="0" applyFont="1" applyFill="1" applyAlignment="1">
      <alignment/>
    </xf>
    <xf numFmtId="164" fontId="0" fillId="7" borderId="0" xfId="0" applyFill="1" applyAlignment="1">
      <alignment horizontal="center"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9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10" borderId="0" xfId="0" applyFill="1" applyAlignment="1">
      <alignment/>
    </xf>
    <xf numFmtId="164" fontId="0" fillId="11" borderId="0" xfId="0" applyFont="1" applyFill="1" applyAlignment="1">
      <alignment/>
    </xf>
    <xf numFmtId="165" fontId="0" fillId="5" borderId="0" xfId="0" applyNumberFormat="1" applyFill="1" applyAlignment="1">
      <alignment/>
    </xf>
    <xf numFmtId="164" fontId="0" fillId="2" borderId="0" xfId="0" applyFont="1" applyFill="1" applyAlignment="1">
      <alignment/>
    </xf>
    <xf numFmtId="164" fontId="0" fillId="12" borderId="0" xfId="0" applyFill="1" applyAlignment="1">
      <alignment/>
    </xf>
    <xf numFmtId="164" fontId="0" fillId="12" borderId="0" xfId="0" applyFont="1" applyFill="1" applyAlignment="1">
      <alignment/>
    </xf>
    <xf numFmtId="164" fontId="0" fillId="13" borderId="0" xfId="0" applyFill="1" applyAlignment="1">
      <alignment/>
    </xf>
    <xf numFmtId="164" fontId="0" fillId="14" borderId="0" xfId="0" applyFont="1" applyFill="1" applyAlignment="1">
      <alignment/>
    </xf>
    <xf numFmtId="164" fontId="0" fillId="15" borderId="0" xfId="0" applyFill="1" applyAlignment="1">
      <alignment/>
    </xf>
    <xf numFmtId="164" fontId="0" fillId="15" borderId="0" xfId="0" applyFont="1" applyFill="1" applyAlignment="1">
      <alignment/>
    </xf>
    <xf numFmtId="164" fontId="0" fillId="16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2" borderId="0" xfId="0" applyFill="1" applyAlignment="1" applyProtection="1">
      <alignment horizontal="center"/>
      <protection locked="0"/>
    </xf>
    <xf numFmtId="164" fontId="0" fillId="0" borderId="0" xfId="0" applyFont="1" applyFill="1" applyAlignment="1">
      <alignment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16" fillId="17" borderId="0" xfId="0" applyFont="1" applyFill="1" applyAlignment="1">
      <alignment/>
    </xf>
    <xf numFmtId="164" fontId="0" fillId="18" borderId="0" xfId="0" applyFont="1" applyFill="1" applyAlignment="1">
      <alignment/>
    </xf>
    <xf numFmtId="164" fontId="0" fillId="7" borderId="0" xfId="0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center"/>
      <protection locked="0"/>
    </xf>
    <xf numFmtId="164" fontId="0" fillId="3" borderId="0" xfId="0" applyFill="1" applyAlignment="1" applyProtection="1">
      <alignment horizontal="center"/>
      <protection locked="0"/>
    </xf>
    <xf numFmtId="164" fontId="0" fillId="5" borderId="0" xfId="0" applyFill="1" applyAlignment="1" applyProtection="1">
      <alignment horizontal="center"/>
      <protection locked="0"/>
    </xf>
    <xf numFmtId="164" fontId="0" fillId="2" borderId="0" xfId="0" applyFill="1" applyAlignment="1" applyProtection="1">
      <alignment/>
      <protection locked="0"/>
    </xf>
    <xf numFmtId="166" fontId="0" fillId="2" borderId="0" xfId="0" applyNumberFormat="1" applyFill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0" fillId="19" borderId="0" xfId="0" applyFont="1" applyFill="1" applyAlignment="1">
      <alignment horizontal="center"/>
    </xf>
    <xf numFmtId="164" fontId="0" fillId="19" borderId="0" xfId="0" applyFont="1" applyFill="1" applyAlignment="1">
      <alignment/>
    </xf>
    <xf numFmtId="164" fontId="0" fillId="19" borderId="0" xfId="0" applyFont="1" applyFill="1" applyAlignment="1">
      <alignment/>
    </xf>
    <xf numFmtId="164" fontId="0" fillId="15" borderId="0" xfId="0" applyFill="1" applyAlignment="1" applyProtection="1">
      <alignment horizontal="center"/>
      <protection locked="0"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375"/>
          <c:w val="0.952"/>
          <c:h val="0.77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Main!$C$13:$C$22</c:f>
              <c:numCache/>
            </c:numRef>
          </c:xVal>
          <c:yVal>
            <c:numRef>
              <c:f>Main!$G$13:$G$22</c:f>
              <c:numCache/>
            </c:numRef>
          </c:yVal>
          <c:smooth val="0"/>
        </c:ser>
        <c:axId val="55973762"/>
        <c:axId val="34001811"/>
      </c:scatterChart>
      <c:valAx>
        <c:axId val="55973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At val="0"/>
        <c:crossBetween val="midCat"/>
        <c:dispUnits/>
      </c:valAx>
      <c:valAx>
        <c:axId val="3400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7376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825"/>
          <c:y val="0.82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88"/>
          <c:w val="0.976"/>
          <c:h val="0.82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Main!$C$13:$C$22</c:f>
              <c:numCache/>
            </c:numRef>
          </c:xVal>
          <c:yVal>
            <c:numRef>
              <c:f>Main!$K$13:$K$22</c:f>
              <c:numCache/>
            </c:numRef>
          </c:yVal>
          <c:smooth val="0"/>
        </c:ser>
        <c:axId val="37580844"/>
        <c:axId val="2683277"/>
      </c:scatterChart>
      <c:valAx>
        <c:axId val="37580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At val="0"/>
        <c:crossBetween val="midCat"/>
        <c:dispUnits/>
      </c:valAx>
      <c:valAx>
        <c:axId val="2683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25"/>
          <c:y val="0.85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025"/>
          <c:w val="0.95025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Main!$C$13:$C$22</c:f>
              <c:numCache/>
            </c:numRef>
          </c:xVal>
          <c:yVal>
            <c:numRef>
              <c:f>Main!$J$13:$J$22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Main!$C$13:$C$22</c:f>
              <c:numCache/>
            </c:numRef>
          </c:xVal>
          <c:yVal>
            <c:numRef>
              <c:f>Main!$D$13:$D$22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Main!$C$13:$C$22</c:f>
              <c:numCache/>
            </c:numRef>
          </c:xVal>
          <c:yVal>
            <c:numRef>
              <c:f>Main!$T$13:$T$22</c:f>
              <c:numCache/>
            </c:numRef>
          </c:yVal>
          <c:smooth val="0"/>
        </c:ser>
        <c:axId val="24149494"/>
        <c:axId val="16018855"/>
      </c:scatterChart>
      <c:valAx>
        <c:axId val="2414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Vsec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At val="0"/>
        <c:crossBetween val="midCat"/>
        <c:dispUnits/>
      </c:valAx>
      <c:valAx>
        <c:axId val="16018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Ip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5"/>
          <c:y val="0.751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5975"/>
          <c:w val="0.904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Main!$H$24:$H$27</c:f>
              <c:numCache/>
            </c:numRef>
          </c:xVal>
          <c:yVal>
            <c:numRef>
              <c:f>Main!$E$24:$E$27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Main!$U$13:$U$22</c:f>
              <c:numCache/>
            </c:numRef>
          </c:xVal>
          <c:yVal>
            <c:numRef>
              <c:f>Main!$E$13:$E$22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Main!$I$24:$I$27</c:f>
              <c:numCache/>
            </c:numRef>
          </c:xVal>
          <c:yVal>
            <c:numRef>
              <c:f>Main!$E$24:$E$27</c:f>
              <c:numCache/>
            </c:numRef>
          </c:yVal>
          <c:smooth val="0"/>
        </c:ser>
        <c:axId val="9951968"/>
        <c:axId val="22458849"/>
      </c:scatterChart>
      <c:valAx>
        <c:axId val="9951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At val="0"/>
        <c:crossBetween val="midCat"/>
        <c:dispUnits/>
      </c:valAx>
      <c:valAx>
        <c:axId val="22458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75"/>
          <c:y val="0.697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075"/>
          <c:w val="0.952"/>
          <c:h val="0.77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Main!$C$13:$C$22</c:f>
              <c:numCache/>
            </c:numRef>
          </c:xVal>
          <c:yVal>
            <c:numRef>
              <c:f>Main!$I$13:$I$22</c:f>
              <c:numCache/>
            </c:numRef>
          </c:yVal>
          <c:smooth val="0"/>
        </c:ser>
        <c:axId val="803050"/>
        <c:axId val="7227451"/>
      </c:scatterChart>
      <c:valAx>
        <c:axId val="803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At val="0"/>
        <c:crossBetween val="midCat"/>
        <c:dispUnits/>
      </c:valAx>
      <c:valAx>
        <c:axId val="7227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65"/>
          <c:y val="0.8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B-H curves</a:t>
            </a:r>
          </a:p>
        </c:rich>
      </c:tx>
      <c:layout>
        <c:manualLayout>
          <c:xMode val="factor"/>
          <c:yMode val="factor"/>
          <c:x val="-0.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275"/>
          <c:w val="0.97475"/>
          <c:h val="0.84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Material!$D$6:$D$9</c:f>
              <c:numCache/>
            </c:numRef>
          </c:xVal>
          <c:yVal>
            <c:numRef>
              <c:f>Material!$E$6:$E$9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Material!$D$10:$D$13</c:f>
              <c:numCache/>
            </c:numRef>
          </c:xVal>
          <c:yVal>
            <c:numRef>
              <c:f>Material!$E$10:$E$13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Material!$D$14:$D$17</c:f>
              <c:numCache/>
            </c:numRef>
          </c:xVal>
          <c:yVal>
            <c:numRef>
              <c:f>Material!$E$14:$E$17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Material!$D$18:$D$21</c:f>
              <c:numCache/>
            </c:numRef>
          </c:xVal>
          <c:yVal>
            <c:numRef>
              <c:f>Material!$E$18:$E$21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Material!$D$22:$D$25</c:f>
              <c:numCache/>
            </c:numRef>
          </c:xVal>
          <c:yVal>
            <c:numRef>
              <c:f>Material!$E$22:$E$25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Material!$D$26:$D$29</c:f>
              <c:numCache/>
            </c:numRef>
          </c:xVal>
          <c:yVal>
            <c:numRef>
              <c:f>Material!$E$26:$E$29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Material!$D$30:$D$33</c:f>
              <c:numCache/>
            </c:numRef>
          </c:xVal>
          <c:yVal>
            <c:numRef>
              <c:f>Material!$E$30:$E$33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Material!$D$34:$D$37</c:f>
              <c:numCache/>
            </c:numRef>
          </c:xVal>
          <c:yVal>
            <c:numRef>
              <c:f>Material!$E$34:$E$37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Material!$D$38:$D$41</c:f>
              <c:numCache/>
            </c:numRef>
          </c:xVal>
          <c:yVal>
            <c:numRef>
              <c:f>Material!$E$38:$E$41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Material!$D$42:$D$45</c:f>
              <c:numCache/>
            </c:numRef>
          </c:xVal>
          <c:yVal>
            <c:numRef>
              <c:f>Material!$E$42:$E$45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Material!$D$46:$D$49</c:f>
              <c:numCache/>
            </c:numRef>
          </c:xVal>
          <c:yVal>
            <c:numRef>
              <c:f>Material!$E$46:$E$49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Material!$D$50:$D$53</c:f>
              <c:numCache/>
            </c:numRef>
          </c:xVal>
          <c:yVal>
            <c:numRef>
              <c:f>Material!$E$50:$E$53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Material!$D$54:$D$57</c:f>
              <c:numCache/>
            </c:numRef>
          </c:xVal>
          <c:yVal>
            <c:numRef>
              <c:f>Material!$E$54:$E$57</c:f>
              <c:numCache/>
            </c:numRef>
          </c:yVal>
          <c:smooth val="0"/>
        </c:ser>
        <c:axId val="65047060"/>
        <c:axId val="48552629"/>
      </c:scatterChart>
      <c:valAx>
        <c:axId val="65047060"/>
        <c:scaling>
          <c:logBase val="10"/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midCat"/>
        <c:dispUnits/>
      </c:valAx>
      <c:valAx>
        <c:axId val="4855262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3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Test_dat!$Q$66:$Q$69</c:f>
              <c:numCache/>
            </c:numRef>
          </c:xVal>
          <c:yVal>
            <c:numRef>
              <c:f>Test_dat!$R$66:$R$69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Test_dat!$Q$70:$Q$73</c:f>
              <c:numCache/>
            </c:numRef>
          </c:xVal>
          <c:yVal>
            <c:numRef>
              <c:f>Test_dat!$R$70:$R$73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Test_dat!$Q$74:$Q$77</c:f>
              <c:numCache/>
            </c:numRef>
          </c:xVal>
          <c:yVal>
            <c:numRef>
              <c:f>Test_dat!$R$74:$R$77</c:f>
              <c:numCache/>
            </c:numRef>
          </c:yVal>
          <c:smooth val="0"/>
        </c:ser>
        <c:axId val="34320478"/>
        <c:axId val="40448847"/>
      </c:scatterChart>
      <c:valAx>
        <c:axId val="34320478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midCat"/>
        <c:dispUnits/>
      </c:valAx>
      <c:valAx>
        <c:axId val="4044884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jpeg" /><Relationship Id="rId7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24</xdr:row>
      <xdr:rowOff>28575</xdr:rowOff>
    </xdr:from>
    <xdr:to>
      <xdr:col>19</xdr:col>
      <xdr:colOff>542925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3971925" y="3914775"/>
        <a:ext cx="62769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43</xdr:row>
      <xdr:rowOff>9525</xdr:rowOff>
    </xdr:from>
    <xdr:to>
      <xdr:col>19</xdr:col>
      <xdr:colOff>523875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962400" y="6972300"/>
        <a:ext cx="62674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885825</xdr:colOff>
      <xdr:row>0</xdr:row>
      <xdr:rowOff>57150</xdr:rowOff>
    </xdr:from>
    <xdr:to>
      <xdr:col>7</xdr:col>
      <xdr:colOff>28575</xdr:colOff>
      <xdr:row>8</xdr:row>
      <xdr:rowOff>133350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57150"/>
          <a:ext cx="310515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10</xdr:row>
      <xdr:rowOff>57150</xdr:rowOff>
    </xdr:from>
    <xdr:to>
      <xdr:col>19</xdr:col>
      <xdr:colOff>523875</xdr:colOff>
      <xdr:row>24</xdr:row>
      <xdr:rowOff>19050</xdr:rowOff>
    </xdr:to>
    <xdr:graphicFrame>
      <xdr:nvGraphicFramePr>
        <xdr:cNvPr id="4" name="Chart 4"/>
        <xdr:cNvGraphicFramePr/>
      </xdr:nvGraphicFramePr>
      <xdr:xfrm>
        <a:off x="4895850" y="1676400"/>
        <a:ext cx="53340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266700</xdr:colOff>
      <xdr:row>0</xdr:row>
      <xdr:rowOff>0</xdr:rowOff>
    </xdr:from>
    <xdr:to>
      <xdr:col>18</xdr:col>
      <xdr:colOff>333375</xdr:colOff>
      <xdr:row>9</xdr:row>
      <xdr:rowOff>9525</xdr:rowOff>
    </xdr:to>
    <xdr:graphicFrame>
      <xdr:nvGraphicFramePr>
        <xdr:cNvPr id="5" name="Chart 5"/>
        <xdr:cNvGraphicFramePr/>
      </xdr:nvGraphicFramePr>
      <xdr:xfrm>
        <a:off x="6000750" y="0"/>
        <a:ext cx="3600450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11</xdr:col>
      <xdr:colOff>314325</xdr:colOff>
      <xdr:row>8</xdr:row>
      <xdr:rowOff>28575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0"/>
          <a:ext cx="20764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34</xdr:row>
      <xdr:rowOff>57150</xdr:rowOff>
    </xdr:from>
    <xdr:to>
      <xdr:col>19</xdr:col>
      <xdr:colOff>552450</xdr:colOff>
      <xdr:row>44</xdr:row>
      <xdr:rowOff>85725</xdr:rowOff>
    </xdr:to>
    <xdr:graphicFrame>
      <xdr:nvGraphicFramePr>
        <xdr:cNvPr id="7" name="Chart 7"/>
        <xdr:cNvGraphicFramePr/>
      </xdr:nvGraphicFramePr>
      <xdr:xfrm>
        <a:off x="3971925" y="5562600"/>
        <a:ext cx="6286500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9525</xdr:rowOff>
    </xdr:from>
    <xdr:to>
      <xdr:col>21</xdr:col>
      <xdr:colOff>142875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3819525" y="819150"/>
        <a:ext cx="76962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438150</xdr:colOff>
      <xdr:row>63</xdr:row>
      <xdr:rowOff>19050</xdr:rowOff>
    </xdr:from>
    <xdr:to>
      <xdr:col>26</xdr:col>
      <xdr:colOff>304800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9201150" y="10220325"/>
        <a:ext cx="37719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6.421875" style="0" customWidth="1"/>
    <col min="3" max="3" width="11.421875" style="0" customWidth="1"/>
    <col min="4" max="4" width="6.8515625" style="0" customWidth="1"/>
    <col min="5" max="5" width="6.14062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7109375" style="0" customWidth="1"/>
    <col min="10" max="10" width="7.140625" style="0" customWidth="1"/>
    <col min="11" max="11" width="5.8515625" style="0" customWidth="1"/>
    <col min="12" max="12" width="8.7109375" style="0" customWidth="1"/>
    <col min="13" max="14" width="8.28125" style="0" customWidth="1"/>
    <col min="15" max="15" width="8.00390625" style="0" customWidth="1"/>
    <col min="16" max="16" width="5.8515625" style="0" customWidth="1"/>
    <col min="17" max="17" width="6.8515625" style="0" customWidth="1"/>
    <col min="18" max="18" width="7.00390625" style="0" customWidth="1"/>
    <col min="19" max="19" width="6.57421875" style="0" customWidth="1"/>
    <col min="20" max="20" width="8.57421875" style="0" customWidth="1"/>
    <col min="21" max="21" width="8.140625" style="0" customWidth="1"/>
    <col min="22" max="22" width="7.28125" style="0" customWidth="1"/>
  </cols>
  <sheetData>
    <row r="1" spans="1:18" ht="12.75">
      <c r="A1" s="1" t="s">
        <v>0</v>
      </c>
      <c r="G1" s="2"/>
      <c r="M1" s="3"/>
      <c r="N1" s="3"/>
      <c r="O1" s="3"/>
      <c r="P1" s="3"/>
      <c r="Q1" s="3"/>
      <c r="R1" s="3"/>
    </row>
    <row r="2" spans="1:21" ht="12.75">
      <c r="A2" s="4" t="s">
        <v>1</v>
      </c>
      <c r="B2" s="5"/>
      <c r="G2" s="2"/>
      <c r="M2" s="6"/>
      <c r="N2" s="6"/>
      <c r="O2" s="6"/>
      <c r="P2" s="6"/>
      <c r="Q2" s="6"/>
      <c r="R2" s="6"/>
      <c r="T2" s="2">
        <f>C13*T3*2*SQRT(2)</f>
        <v>28.284271247461902</v>
      </c>
      <c r="U2" s="2" t="s">
        <v>2</v>
      </c>
    </row>
    <row r="3" spans="1:21" ht="12.75">
      <c r="A3" s="7" t="s">
        <v>3</v>
      </c>
      <c r="B3" s="8"/>
      <c r="C3" s="9"/>
      <c r="D3" s="9"/>
      <c r="E3" s="9"/>
      <c r="F3" s="9"/>
      <c r="G3" s="2"/>
      <c r="H3" s="9"/>
      <c r="I3" s="9"/>
      <c r="M3" s="6"/>
      <c r="N3" s="10"/>
      <c r="O3" s="6"/>
      <c r="P3" s="6"/>
      <c r="Q3" s="6"/>
      <c r="R3" s="6"/>
      <c r="T3" s="11">
        <v>10</v>
      </c>
      <c r="U3" s="2" t="s">
        <v>4</v>
      </c>
    </row>
    <row r="4" spans="1:21" ht="12.75">
      <c r="A4" s="12" t="s">
        <v>5</v>
      </c>
      <c r="B4" s="13"/>
      <c r="C4" s="14"/>
      <c r="D4" s="9"/>
      <c r="E4" s="9"/>
      <c r="F4" s="9"/>
      <c r="G4" s="2"/>
      <c r="H4" s="9"/>
      <c r="I4" s="9"/>
      <c r="M4" s="6"/>
      <c r="N4" s="6"/>
      <c r="O4" s="6"/>
      <c r="P4" s="6"/>
      <c r="Q4" s="6"/>
      <c r="R4" s="6"/>
      <c r="T4" s="2">
        <f>B15*2*SQRT(2)/T3</f>
        <v>500</v>
      </c>
      <c r="U4" s="2" t="s">
        <v>6</v>
      </c>
    </row>
    <row r="5" spans="1:21" ht="12.75">
      <c r="A5" s="15"/>
      <c r="B5" s="16"/>
      <c r="C5" s="9"/>
      <c r="D5" s="9"/>
      <c r="E5" s="9"/>
      <c r="F5" s="9"/>
      <c r="G5" s="2"/>
      <c r="H5" s="9"/>
      <c r="I5" s="9"/>
      <c r="M5" s="3"/>
      <c r="N5" s="3"/>
      <c r="O5" s="3"/>
      <c r="P5" s="3"/>
      <c r="Q5" s="3"/>
      <c r="R5" s="3"/>
      <c r="T5" s="11">
        <f>SQRT(T2*T2+T4*T4*T6*T6)</f>
        <v>900.4443347592343</v>
      </c>
      <c r="U5" s="2" t="s">
        <v>7</v>
      </c>
    </row>
    <row r="6" spans="1:21" ht="12.75">
      <c r="A6" s="17" t="s">
        <v>8</v>
      </c>
      <c r="B6" s="16"/>
      <c r="C6" s="9"/>
      <c r="D6" s="9"/>
      <c r="E6" s="9"/>
      <c r="F6" s="9"/>
      <c r="G6" s="2"/>
      <c r="H6" s="9"/>
      <c r="I6" s="9"/>
      <c r="M6" s="3"/>
      <c r="N6" s="3"/>
      <c r="O6" s="3"/>
      <c r="P6" s="3"/>
      <c r="Q6" s="3"/>
      <c r="R6" s="3"/>
      <c r="T6" s="2">
        <v>1.8</v>
      </c>
      <c r="U6" s="2" t="s">
        <v>9</v>
      </c>
    </row>
    <row r="7" spans="1:21" ht="12.75">
      <c r="A7" s="15" t="s">
        <v>10</v>
      </c>
      <c r="B7" s="16"/>
      <c r="D7" s="9"/>
      <c r="E7" s="9"/>
      <c r="F7" s="9"/>
      <c r="G7" s="2"/>
      <c r="H7" s="9"/>
      <c r="I7" s="9"/>
      <c r="M7" s="3"/>
      <c r="N7" s="3"/>
      <c r="O7" s="3"/>
      <c r="P7" s="3"/>
      <c r="Q7" s="3"/>
      <c r="R7" s="3"/>
      <c r="T7" s="11">
        <f>T4*T6</f>
        <v>900</v>
      </c>
      <c r="U7" s="11" t="s">
        <v>11</v>
      </c>
    </row>
    <row r="8" spans="1:21" ht="12.75">
      <c r="A8" s="18"/>
      <c r="B8" s="19"/>
      <c r="D8" s="9"/>
      <c r="E8" s="9"/>
      <c r="F8" s="9"/>
      <c r="G8" s="2"/>
      <c r="H8" s="9"/>
      <c r="I8" s="9"/>
      <c r="M8" s="3"/>
      <c r="N8" s="3"/>
      <c r="O8" s="3"/>
      <c r="P8" s="3"/>
      <c r="Q8" s="6"/>
      <c r="R8" s="3"/>
      <c r="T8" s="11"/>
      <c r="U8" s="2"/>
    </row>
    <row r="9" spans="2:10" ht="12.75">
      <c r="B9" s="9" t="s">
        <v>12</v>
      </c>
      <c r="C9" s="9" t="s">
        <v>13</v>
      </c>
      <c r="D9" s="9">
        <v>80</v>
      </c>
      <c r="E9" s="9" t="s">
        <v>14</v>
      </c>
      <c r="F9" s="9" t="s">
        <v>15</v>
      </c>
      <c r="J9" s="20"/>
    </row>
    <row r="10" spans="1:18" ht="12.75">
      <c r="A10" s="21" t="s">
        <v>16</v>
      </c>
      <c r="B10" s="22">
        <v>20.5</v>
      </c>
      <c r="C10" s="22">
        <v>34</v>
      </c>
      <c r="D10" s="22">
        <v>12.5</v>
      </c>
      <c r="E10" s="23">
        <v>0.1</v>
      </c>
      <c r="F10" s="23">
        <v>0.93</v>
      </c>
      <c r="Q10" s="24" t="s">
        <v>17</v>
      </c>
      <c r="R10" s="24" t="s">
        <v>18</v>
      </c>
    </row>
    <row r="11" spans="1:21" s="32" customFormat="1" ht="12.75">
      <c r="A11" s="25" t="s">
        <v>19</v>
      </c>
      <c r="B11" s="23">
        <v>0</v>
      </c>
      <c r="C11" s="26" t="s">
        <v>20</v>
      </c>
      <c r="D11" s="27" t="s">
        <v>21</v>
      </c>
      <c r="E11" s="28" t="s">
        <v>22</v>
      </c>
      <c r="F11" s="29" t="s">
        <v>23</v>
      </c>
      <c r="G11" s="30" t="s">
        <v>24</v>
      </c>
      <c r="H11" s="31" t="s">
        <v>25</v>
      </c>
      <c r="I11" s="32" t="s">
        <v>26</v>
      </c>
      <c r="J11" s="33" t="s">
        <v>27</v>
      </c>
      <c r="K11" s="34" t="s">
        <v>28</v>
      </c>
      <c r="L11" s="35" t="s">
        <v>29</v>
      </c>
      <c r="M11" s="32" t="s">
        <v>30</v>
      </c>
      <c r="N11" s="32" t="s">
        <v>31</v>
      </c>
      <c r="O11" s="34" t="s">
        <v>32</v>
      </c>
      <c r="P11" s="34" t="s">
        <v>33</v>
      </c>
      <c r="Q11" s="36">
        <f>LN(B_drt*INDEX(Material!$E$6:Material!$E$57,type*4+1))</f>
        <v>1.3688183399019842</v>
      </c>
      <c r="R11" s="36">
        <f>LN(B_drt*INDEX(Material!$F$6:Material!$F$57,type*4+1))</f>
        <v>8.174292301541788</v>
      </c>
      <c r="T11" s="37" t="s">
        <v>34</v>
      </c>
      <c r="U11" s="32" t="s">
        <v>35</v>
      </c>
    </row>
    <row r="12" spans="1:21" s="41" customFormat="1" ht="12.75">
      <c r="A12" s="10" t="s">
        <v>36</v>
      </c>
      <c r="B12" s="38">
        <v>10</v>
      </c>
      <c r="C12" s="39" t="s">
        <v>37</v>
      </c>
      <c r="D12" s="33" t="s">
        <v>38</v>
      </c>
      <c r="E12" s="33" t="s">
        <v>39</v>
      </c>
      <c r="F12" s="40" t="s">
        <v>40</v>
      </c>
      <c r="G12" s="33" t="s">
        <v>41</v>
      </c>
      <c r="H12" s="41" t="s">
        <v>38</v>
      </c>
      <c r="I12" s="41" t="s">
        <v>41</v>
      </c>
      <c r="J12" s="33" t="s">
        <v>38</v>
      </c>
      <c r="K12" s="41" t="s">
        <v>42</v>
      </c>
      <c r="L12" s="41" t="s">
        <v>38</v>
      </c>
      <c r="M12" s="41" t="s">
        <v>43</v>
      </c>
      <c r="N12" s="41" t="s">
        <v>44</v>
      </c>
      <c r="P12" s="41" t="s">
        <v>42</v>
      </c>
      <c r="Q12" s="42">
        <f>LN(B_drt*INDEX(Material!$E$6:Material!$E$57,type*4+2))</f>
        <v>3.453149866876012</v>
      </c>
      <c r="R12" s="42">
        <f>LN(B_drt*INDEX(Material!$F$6:Material!$F$57,type*4+2))</f>
        <v>8.281970690107551</v>
      </c>
      <c r="T12" s="33" t="s">
        <v>38</v>
      </c>
      <c r="U12" s="41" t="s">
        <v>45</v>
      </c>
    </row>
    <row r="13" spans="1:21" s="34" customFormat="1" ht="12.75">
      <c r="A13" s="6" t="s">
        <v>46</v>
      </c>
      <c r="B13" s="34" t="s">
        <v>47</v>
      </c>
      <c r="C13" s="43">
        <v>1</v>
      </c>
      <c r="D13" s="44">
        <f>SQRT(H13*H13+L13*L13)</f>
        <v>1767.7678536407616</v>
      </c>
      <c r="E13" s="45">
        <f>2000000*F13*sqrt2/(pi2*f*(do-di)*width)</f>
        <v>108.21236359740558</v>
      </c>
      <c r="F13" s="46">
        <f>1000*C13*(Rs+Rsx+Rb)/(Rb*Nt)</f>
        <v>1014.136850078726</v>
      </c>
      <c r="G13" s="47">
        <f>(D13*$J$13/$D$13-J13)*100/J13</f>
        <v>0</v>
      </c>
      <c r="H13" s="34">
        <f>F13*1000/(pi2*f*N13)</f>
        <v>1174.2250012091686</v>
      </c>
      <c r="I13" s="48">
        <f>(D13-J13)*100/J13</f>
        <v>36.65828773779052</v>
      </c>
      <c r="J13" s="49">
        <f>C13*N*1000/Rb</f>
        <v>1293.567981059897</v>
      </c>
      <c r="K13" s="34">
        <f>(360/pi2)*ATAN(H13/L13)</f>
        <v>41.62407428231504</v>
      </c>
      <c r="L13" s="34">
        <f>J13+F13/M13</f>
        <v>1321.4381676419798</v>
      </c>
      <c r="M13" s="34">
        <f>N13*pi2*f*TAN(P13*pi2/360)/1000</f>
        <v>36.387874443965615</v>
      </c>
      <c r="N13" s="34">
        <f>O13*mu_0*a_Fe*10/l_Fe</f>
        <v>0.00549824829352122</v>
      </c>
      <c r="O13" s="2">
        <f>EXP(IF(E13&gt;$E$25,IF(E13&gt;$E$26,$Q$19*LN(E13)+$R$19,$Q$18*LN(E13)+$R$18),$Q$17*LN(E13)+$R$17))</f>
        <v>4775.901588280262</v>
      </c>
      <c r="P13" s="34">
        <f>EXP(IF(E13&gt;$E$25,IF(E13&gt;$E$26,$Q$29*LN(E13)+$R$29,$Q$28*LN(E13)+$R$28),$Q$27*LN(E13)+$R$27))</f>
        <v>88.64013481436808</v>
      </c>
      <c r="Q13" s="36">
        <f>LN(B_drt*INDEX(Material!$E$6:Material!$E$57,type*4+3))</f>
        <v>4.776530402585333</v>
      </c>
      <c r="R13" s="36">
        <f>LN(B_drt*INDEX(Material!$F$6:Material!$F$57,type*4+3))</f>
        <v>8.485558115069315</v>
      </c>
      <c r="T13" s="50">
        <f>1.5*J13</f>
        <v>1940.3519715898456</v>
      </c>
      <c r="U13" s="50">
        <f>E13/(O13*mu_0*100000)</f>
        <v>0.18039806484961093</v>
      </c>
    </row>
    <row r="14" spans="1:21" s="50" customFormat="1" ht="12.75">
      <c r="A14" s="51" t="s">
        <v>48</v>
      </c>
      <c r="B14" s="52">
        <v>1</v>
      </c>
      <c r="C14" s="53">
        <f>C13*V_steps</f>
        <v>1.0204645356768483</v>
      </c>
      <c r="D14" s="44">
        <f>SQRT(H14*H14+L14*L14)</f>
        <v>1801.4009212267597</v>
      </c>
      <c r="E14" s="45">
        <f>2000000*F14*sqrt2/(pi2*f*(do-di)*width)</f>
        <v>110.42687937292078</v>
      </c>
      <c r="F14" s="46">
        <f>1000*C14*(Rs+Rsx+Rb)/(Rb*Nt)</f>
        <v>1034.8906898283687</v>
      </c>
      <c r="G14" s="47">
        <f>(D14*$J$13/$D$13-J14)*100/J14</f>
        <v>-0.1409955162958243</v>
      </c>
      <c r="H14" s="34">
        <f>F14*1000/(pi2*f*N14)</f>
        <v>1194.5264684563735</v>
      </c>
      <c r="I14" s="48">
        <f>(D14-J14)*100/J14</f>
        <v>36.46560567943361</v>
      </c>
      <c r="J14" s="49">
        <f>C14*N*1000/Rb</f>
        <v>1320.0402491587258</v>
      </c>
      <c r="K14" s="34">
        <f>(360/pi2)*ATAN(H14/L14)</f>
        <v>41.53737437707717</v>
      </c>
      <c r="L14" s="34">
        <f>J14+F14/M14</f>
        <v>1348.3885920437635</v>
      </c>
      <c r="M14" s="34">
        <f>N14*pi2*f*TAN(P14*pi2/360)/1000</f>
        <v>36.50621463219938</v>
      </c>
      <c r="N14" s="34">
        <f>O14*mu_0*a_Fe*10/l_Fe</f>
        <v>0.005515410098893219</v>
      </c>
      <c r="O14" s="2">
        <f>EXP(IF(E14&gt;$E$25,IF(E14&gt;$E$26,$Q$19*LN(E14)+$R$19,$Q$18*LN(E14)+$R$18),$Q$17*LN(E14)+$R$17))</f>
        <v>4790.808716725238</v>
      </c>
      <c r="P14" s="34">
        <f>EXP(IF(E14&gt;$E$25,IF(E14&gt;$E$26,$Q$29*LN(E14)+$R$29,$Q$28*LN(E14)+$R$28),$Q$27*LN(E14)+$R$27))</f>
        <v>88.64031210233169</v>
      </c>
      <c r="Q14" s="36">
        <f>LN(B_drt*INDEX(Material!$E$6:$E$57,type*4+4))</f>
        <v>5.523402982501442</v>
      </c>
      <c r="R14" s="36">
        <f>LN(B_drt*INDEX(Material!$F$6:Material!$F$57,type*4+4))</f>
        <v>8.589946689069432</v>
      </c>
      <c r="T14" s="50">
        <f>1.5*J14</f>
        <v>1980.0603737380889</v>
      </c>
      <c r="U14" s="50">
        <f>E14/(O14*mu_0*100000)</f>
        <v>0.18351701173051727</v>
      </c>
    </row>
    <row r="15" spans="1:21" ht="12.75">
      <c r="A15" s="6" t="s">
        <v>49</v>
      </c>
      <c r="B15" s="22">
        <f>500*T3/(2*SQRT(2))</f>
        <v>1767.7669529663688</v>
      </c>
      <c r="C15" s="53">
        <f>C14*V_steps</f>
        <v>1.0413478685741655</v>
      </c>
      <c r="D15" s="44">
        <f>SQRT(H15*H15+L15*L15)</f>
        <v>1835.6825092761883</v>
      </c>
      <c r="E15" s="45">
        <f>2000000*F15*sqrt2/(pi2*f*(do-di)*width)</f>
        <v>112.68671418553093</v>
      </c>
      <c r="F15" s="46">
        <f>1000*C15*(Rs+Rsx+Rb)/(Rb*Nt)</f>
        <v>1056.0692472719993</v>
      </c>
      <c r="G15" s="47">
        <f>(D15*$J$13/$D$13-J15)*100/J15</f>
        <v>-0.2813236002332517</v>
      </c>
      <c r="H15" s="34">
        <f>F15*1000/(pi2*f*N15)</f>
        <v>1215.178932805469</v>
      </c>
      <c r="I15" s="48">
        <f>(D15-J15)*100/J15</f>
        <v>36.273835722709435</v>
      </c>
      <c r="J15" s="49">
        <f>C15*N*1000/Rb</f>
        <v>1347.0542599325101</v>
      </c>
      <c r="K15" s="34">
        <f>(360/pi2)*ATAN(H15/L15)</f>
        <v>41.4507001709367</v>
      </c>
      <c r="L15" s="34">
        <f>J15+F15/M15</f>
        <v>1375.88896213622</v>
      </c>
      <c r="M15" s="34">
        <f>N15*pi2*f*TAN(P15*pi2/360)/1000</f>
        <v>36.62494031709207</v>
      </c>
      <c r="N15" s="34">
        <f>O15*mu_0*a_Fe*10/l_Fe</f>
        <v>0.005532625471792157</v>
      </c>
      <c r="O15" s="2">
        <f>EXP(IF(E15&gt;$E$25,IF(E15&gt;$E$26,$Q$19*LN(E15)+$R$19,$Q$18*LN(E15)+$R$18),$Q$17*LN(E15)+$R$17))</f>
        <v>4805.762375123632</v>
      </c>
      <c r="P15" s="34">
        <f>EXP(IF(E15&gt;$E$25,IF(E15&gt;$E$26,$Q$29*LN(E15)+$R$29,$Q$28*LN(E15)+$R$28),$Q$27*LN(E15)+$R$27))</f>
        <v>88.64048939064989</v>
      </c>
      <c r="Q15" t="s">
        <v>50</v>
      </c>
      <c r="T15" s="50">
        <f>1.5*J15</f>
        <v>2020.5813898987653</v>
      </c>
      <c r="U15" s="50">
        <f>E15/(O15*mu_0*100000)</f>
        <v>0.1866898828575294</v>
      </c>
    </row>
    <row r="16" spans="1:21" ht="12.75">
      <c r="A16" s="54" t="s">
        <v>51</v>
      </c>
      <c r="B16" s="38">
        <v>50000</v>
      </c>
      <c r="C16" s="53">
        <f>C15*V_steps</f>
        <v>1.0626585691826114</v>
      </c>
      <c r="D16" s="44">
        <f>SQRT(H16*H16+L16*L16)</f>
        <v>1870.6252794997008</v>
      </c>
      <c r="E16" s="45">
        <f>2000000*F16*sqrt2/(pi2*f*(do-di)*width)</f>
        <v>114.99279546828753</v>
      </c>
      <c r="F16" s="46">
        <f>1000*C16*(Rs+Rsx+Rb)/(Rb*Nt)</f>
        <v>1077.6812140600196</v>
      </c>
      <c r="G16" s="47">
        <f>(D16*$J$13/$D$13-J16)*100/J16</f>
        <v>-0.42098678740948914</v>
      </c>
      <c r="H16" s="34">
        <f>F16*1000/(pi2*f*N16)</f>
        <v>1236.1884627323907</v>
      </c>
      <c r="I16" s="48">
        <f>(D16-J16)*100/J16</f>
        <v>36.08297440251438</v>
      </c>
      <c r="J16" s="49">
        <f>C16*N*1000/Rb</f>
        <v>1374.6210998935496</v>
      </c>
      <c r="K16" s="34">
        <f>(360/pi2)*ATAN(H16/L16)</f>
        <v>41.364052471208865</v>
      </c>
      <c r="L16" s="34">
        <f>J16+F16/M16</f>
        <v>1403.9505051499011</v>
      </c>
      <c r="M16" s="34">
        <f>N16*pi2*f*TAN(P16*pi2/360)/1000</f>
        <v>36.74405275663203</v>
      </c>
      <c r="N16" s="34">
        <f>O16*mu_0*a_Fe*10/l_Fe</f>
        <v>0.005549894579419571</v>
      </c>
      <c r="O16" s="2">
        <f>EXP(IF(E16&gt;$E$25,IF(E16&gt;$E$26,$Q$19*LN(E16)+$R$19,$Q$18*LN(E16)+$R$18),$Q$17*LN(E16)+$R$17))</f>
        <v>4820.7627087104465</v>
      </c>
      <c r="P16" s="34">
        <f>EXP(IF(E16&gt;$E$25,IF(E16&gt;$E$26,$Q$29*LN(E16)+$R$29,$Q$28*LN(E16)+$R$28),$Q$27*LN(E16)+$R$27))</f>
        <v>88.64066667932276</v>
      </c>
      <c r="Q16" t="s">
        <v>52</v>
      </c>
      <c r="R16" t="s">
        <v>53</v>
      </c>
      <c r="T16" s="50">
        <f>1.5*J16</f>
        <v>2061.9316498403246</v>
      </c>
      <c r="U16" s="50">
        <f>E16/(O16*mu_0*100000)</f>
        <v>0.18991761054031064</v>
      </c>
    </row>
    <row r="17" spans="1:21" ht="12.75">
      <c r="A17" s="2" t="s">
        <v>54</v>
      </c>
      <c r="B17" s="23">
        <v>0.2</v>
      </c>
      <c r="C17" s="53">
        <f>C16*V_steps</f>
        <v>1.0844053833839575</v>
      </c>
      <c r="D17" s="44">
        <f>SQRT(H17*H17+L17*L17)</f>
        <v>1906.2421435448423</v>
      </c>
      <c r="E17" s="45">
        <f>2000000*F17*sqrt2/(pi2*f*(do-di)*width)</f>
        <v>117.3460696337288</v>
      </c>
      <c r="F17" s="46">
        <f>1000*C17*(Rs+Rsx+Rb)/(Rb*Nt)</f>
        <v>1099.73545971342</v>
      </c>
      <c r="G17" s="47">
        <f>(D17*$J$13/$D$13-J17)*100/J17</f>
        <v>-0.5599876078199253</v>
      </c>
      <c r="H17" s="34">
        <f>F17*1000/(pi2*f*N17)</f>
        <v>1257.5612316324684</v>
      </c>
      <c r="I17" s="48">
        <f>(D17-J17)*100/J17</f>
        <v>35.893018261399995</v>
      </c>
      <c r="J17" s="49">
        <f>C17*N*1000/Rb</f>
        <v>1402.7520824344695</v>
      </c>
      <c r="K17" s="34">
        <f>(360/pi2)*ATAN(H17/L17)</f>
        <v>41.277432083967376</v>
      </c>
      <c r="L17" s="34">
        <f>J17+F17/M17</f>
        <v>1432.5846776094825</v>
      </c>
      <c r="M17" s="34">
        <f>N17*pi2*f*TAN(P17*pi2/360)/1000</f>
        <v>36.86355321291416</v>
      </c>
      <c r="N17" s="34">
        <f>O17*mu_0*a_Fe*10/l_Fe</f>
        <v>0.005567217589498852</v>
      </c>
      <c r="O17" s="2">
        <f>EXP(IF(E17&gt;$E$25,IF(E17&gt;$E$26,$Q$19*LN(E17)+$R$19,$Q$18*LN(E17)+$R$18),$Q$17*LN(E17)+$R$17))</f>
        <v>4835.809863173972</v>
      </c>
      <c r="P17" s="34">
        <f>EXP(IF(E17&gt;$E$25,IF(E17&gt;$E$26,$Q$29*LN(E17)+$R$29,$Q$28*LN(E17)+$R$28),$Q$27*LN(E17)+$R$27))</f>
        <v>88.64084396835014</v>
      </c>
      <c r="Q17" s="2">
        <f>(R12-R11)/(Q12-Q11)</f>
        <v>0.05166087408469371</v>
      </c>
      <c r="R17" s="2">
        <f>(R12*Q11-R11*Q12)/(Q11-Q12)</f>
        <v>8.103577949639293</v>
      </c>
      <c r="T17" s="50">
        <f>1.5*J17</f>
        <v>2104.1281236517043</v>
      </c>
      <c r="U17" s="50">
        <f>E17/(O17*mu_0*100000)</f>
        <v>0.19320114320745846</v>
      </c>
    </row>
    <row r="18" spans="1:21" ht="12.75">
      <c r="A18" s="25" t="s">
        <v>55</v>
      </c>
      <c r="B18" s="23">
        <v>25000</v>
      </c>
      <c r="C18" s="53">
        <f>C17*V_steps</f>
        <v>1.1065972360403848</v>
      </c>
      <c r="D18" s="44">
        <f>SQRT(H18*H18+L18*L18)</f>
        <v>1946.7316543536745</v>
      </c>
      <c r="E18" s="45">
        <f>2000000*F18*sqrt2/(pi2*f*(do-di)*width)</f>
        <v>119.74750246228618</v>
      </c>
      <c r="F18" s="46">
        <f>1000*C18*(Rs+Rsx+Rb)/(Rb*Nt)</f>
        <v>1122.2410352638203</v>
      </c>
      <c r="G18" s="47">
        <f>(D18*$J$13/$D$13-J18)*100/J18</f>
        <v>-0.4843744218012956</v>
      </c>
      <c r="H18" s="34">
        <f>F18*1000/(pi2*f*N18)</f>
        <v>1279.4629324915793</v>
      </c>
      <c r="I18" s="48">
        <f>(D18-J18)*100/J18</f>
        <v>35.996349946717054</v>
      </c>
      <c r="J18" s="49">
        <f>C18*N*1000/Rb</f>
        <v>1431.4587524712229</v>
      </c>
      <c r="K18" s="34">
        <f>(360/pi2)*ATAN(H18/L18)</f>
        <v>41.08934898578565</v>
      </c>
      <c r="L18" s="34">
        <f>J18+F18/M18</f>
        <v>1467.221434699835</v>
      </c>
      <c r="M18" s="34">
        <f>N18*pi2*f*TAN(P18*pi2/360)/1000</f>
        <v>31.380225568370882</v>
      </c>
      <c r="N18" s="34">
        <f>O18*mu_0*a_Fe*10/l_Fe</f>
        <v>0.0055838988656779645</v>
      </c>
      <c r="O18" s="2">
        <f>EXP(IF(E18&gt;$E$25,IF(E18&gt;$E$26,$Q$19*LN(E18)+$R$19,$Q$18*LN(E18)+$R$18),$Q$17*LN(E18)+$R$17))</f>
        <v>4850.299593201669</v>
      </c>
      <c r="P18" s="34">
        <f>EXP(IF(E18&gt;$E$25,IF(E18&gt;$E$26,$Q$29*LN(E18)+$R$29,$Q$28*LN(E18)+$R$28),$Q$27*LN(E18)+$R$27))</f>
        <v>88.39871729580621</v>
      </c>
      <c r="Q18" s="2">
        <f>(R13-R12)/(Q13-Q12)</f>
        <v>0.1538389144076711</v>
      </c>
      <c r="R18" s="2">
        <f>(R13*Q12-R12*Q13)/(Q12-Q13)</f>
        <v>7.750741863300353</v>
      </c>
      <c r="T18" s="50">
        <f>1.5*J18</f>
        <v>2147.1881287068345</v>
      </c>
      <c r="U18" s="50">
        <f>E18/(O18*mu_0*100000)</f>
        <v>0.1965659365373825</v>
      </c>
    </row>
    <row r="19" spans="1:21" s="2" customFormat="1" ht="12.75">
      <c r="A19" s="9" t="s">
        <v>56</v>
      </c>
      <c r="B19" s="23">
        <v>1</v>
      </c>
      <c r="C19" s="53">
        <f>C18*V_steps</f>
        <v>1.129243234657235</v>
      </c>
      <c r="D19" s="44">
        <f>SQRT(H19*H19+L19*L19)</f>
        <v>1993.5549752745112</v>
      </c>
      <c r="E19" s="45">
        <f>2000000*F19*sqrt2/(pi2*f*(do-di)*width)</f>
        <v>122.19807949863912</v>
      </c>
      <c r="F19" s="46">
        <f>1000*C19*(Rs+Rsx+Rb)/(Rb*Nt)</f>
        <v>1145.2071769679999</v>
      </c>
      <c r="G19" s="47">
        <f>(D19*$J$13/$D$13-J19)*100/J19</f>
        <v>-0.1344985594380924</v>
      </c>
      <c r="H19" s="34">
        <f>F19*1000/(pi2*f*N19)</f>
        <v>1301.9549621003152</v>
      </c>
      <c r="I19" s="48">
        <f>(D19-J19)*100/J19</f>
        <v>36.47448430943044</v>
      </c>
      <c r="J19" s="49">
        <f>C19*N*1000/Rb</f>
        <v>1460.7528911811069</v>
      </c>
      <c r="K19" s="34">
        <f>(360/pi2)*ATAN(H19/L19)</f>
        <v>40.774284668538165</v>
      </c>
      <c r="L19" s="34">
        <f>J19+F19/M19</f>
        <v>1509.6935835142588</v>
      </c>
      <c r="M19" s="34">
        <f>N19*pi2*f*TAN(P19*pi2/360)/1000</f>
        <v>23.399897352744393</v>
      </c>
      <c r="N19" s="34">
        <f>O19*mu_0*a_Fe*10/l_Fe</f>
        <v>0.005599731547395104</v>
      </c>
      <c r="O19" s="2">
        <f>EXP(IF(E19&gt;$E$25,IF(E19&gt;$E$26,$Q$19*LN(E19)+$R$19,$Q$18*LN(E19)+$R$18),$Q$17*LN(E19)+$R$17))</f>
        <v>4864.0522150773895</v>
      </c>
      <c r="P19" s="34">
        <f>EXP(IF(E19&gt;$E$25,IF(E19&gt;$E$26,$Q$29*LN(E19)+$R$29,$Q$28*LN(E19)+$R$28),$Q$27*LN(E19)+$R$27))</f>
        <v>87.84705076327617</v>
      </c>
      <c r="Q19" s="2">
        <f>(R14-R13)/(Q14-Q13)</f>
        <v>0.13976758125441183</v>
      </c>
      <c r="R19" s="2">
        <f>(R14*Q13-R13*Q14)/(Q13-Q14)</f>
        <v>7.817954013911803</v>
      </c>
      <c r="S19"/>
      <c r="T19" s="50">
        <f>1.5*J19</f>
        <v>2191.1293367716603</v>
      </c>
      <c r="U19" s="50">
        <f>E19/(O19*mu_0*100000)</f>
        <v>0.2000214230172121</v>
      </c>
    </row>
    <row r="20" spans="1:21" s="2" customFormat="1" ht="12.75">
      <c r="A20" s="55" t="s">
        <v>57</v>
      </c>
      <c r="B20" s="56">
        <f>IF($B$21&lt;$I$44,IF($B$21&lt;$H$44,IF($B$21&lt;$G$44,IF($B$21&lt;$F$44,IF($B$21&lt;$E$44,IF($B$21&lt;$D$44,IF($B$21&lt;$C$44,$B$44,$C$44),$D$44),$E$44),$F$44),$G$44),$H$44),$I$44)</f>
        <v>1</v>
      </c>
      <c r="C20" s="53">
        <f>C19*V_steps</f>
        <v>1.1523526731207174</v>
      </c>
      <c r="D20" s="44">
        <f>SQRT(H20*H20+L20*L20)</f>
        <v>2041.438906227199</v>
      </c>
      <c r="E20" s="45">
        <f>2000000*F20*sqrt2/(pi2*f*(do-di)*width)</f>
        <v>124.69880645618132</v>
      </c>
      <c r="F20" s="46">
        <f>1000*C20*(Rs+Rsx+Rb)/(Rb*Nt)</f>
        <v>1168.643310098444</v>
      </c>
      <c r="G20" s="47">
        <f>(D20*$J$13/$D$13-J20)*100/J20</f>
        <v>0.2133872501900692</v>
      </c>
      <c r="H20" s="34">
        <f>F20*1000/(pi2*f*N20)</f>
        <v>1324.8423852629196</v>
      </c>
      <c r="I20" s="48">
        <f>(D20-J20)*100/J20</f>
        <v>36.94989910015102</v>
      </c>
      <c r="J20" s="49">
        <f>C20*N*1000/Rb</f>
        <v>1490.6465208377417</v>
      </c>
      <c r="K20" s="34">
        <f>(360/pi2)*ATAN(H20/L20)</f>
        <v>40.46425532863336</v>
      </c>
      <c r="L20" s="34">
        <f>J20+F20/M20</f>
        <v>1553.1469544344345</v>
      </c>
      <c r="M20" s="34">
        <f>N20*pi2*f*TAN(P20*pi2/360)/1000</f>
        <v>18.698163242187192</v>
      </c>
      <c r="N20" s="34">
        <f>O20*mu_0*a_Fe*10/l_Fe</f>
        <v>0.005615609121366988</v>
      </c>
      <c r="O20" s="2">
        <f>EXP(IF(E20&gt;$E$25,IF(E20&gt;$E$26,$Q$19*LN(E20)+$R$19,$Q$18*LN(E20)+$R$18),$Q$17*LN(E20)+$R$17))</f>
        <v>4877.843831370839</v>
      </c>
      <c r="P20" s="34">
        <f>EXP(IF(E20&gt;$E$25,IF(E20&gt;$E$26,$Q$29*LN(E20)+$R$29,$Q$28*LN(E20)+$R$28),$Q$27*LN(E20)+$R$27))</f>
        <v>87.2988269952163</v>
      </c>
      <c r="Q20" s="24" t="s">
        <v>17</v>
      </c>
      <c r="R20" s="24" t="s">
        <v>58</v>
      </c>
      <c r="T20" s="50">
        <f>1.5*J20</f>
        <v>2235.969781256613</v>
      </c>
      <c r="U20" s="50">
        <f>E20/(O20*mu_0*100000)</f>
        <v>0.20353765444106714</v>
      </c>
    </row>
    <row r="21" spans="1:21" ht="12.75">
      <c r="A21" s="57" t="s">
        <v>59</v>
      </c>
      <c r="B21" s="58">
        <f>$B$17*(di-1-(2*th))*pi2/(2*(Nt+Ntst))</f>
        <v>6.063288</v>
      </c>
      <c r="C21" s="53">
        <f>C20*V_steps</f>
        <v>1.1759350355121079</v>
      </c>
      <c r="D21" s="44">
        <f>SQRT(H21*H21+L21*L21)</f>
        <v>2090.406850841649</v>
      </c>
      <c r="E21" s="45">
        <f>2000000*F21*sqrt2/(pi2*f*(do-di)*width)</f>
        <v>127.25070962976426</v>
      </c>
      <c r="F21" s="46">
        <f>1000*C21*(Rs+Rsx+Rb)/(Rb*Nt)</f>
        <v>1192.5590528114637</v>
      </c>
      <c r="G21" s="47">
        <f>(D21*$J$13/$D$13-J21)*100/J21</f>
        <v>0.5593038336677277</v>
      </c>
      <c r="H21" s="34">
        <f>F21*1000/(pi2*f*N21)</f>
        <v>1348.1321527110583</v>
      </c>
      <c r="I21" s="48">
        <f>(D21-J21)*100/J21</f>
        <v>37.42262278013265</v>
      </c>
      <c r="J21" s="49">
        <f>C21*N*1000/Rb</f>
        <v>1521.1519097449955</v>
      </c>
      <c r="K21" s="34">
        <f>(360/pi2)*ATAN(H21/L21)</f>
        <v>40.15911626963973</v>
      </c>
      <c r="L21" s="34">
        <f>J21+F21/M21</f>
        <v>1597.6046134361113</v>
      </c>
      <c r="M21" s="34">
        <f>N21*pi2*f*TAN(P21*pi2/360)/1000</f>
        <v>15.598651129849381</v>
      </c>
      <c r="N21" s="34">
        <f>O21*mu_0*a_Fe*10/l_Fe</f>
        <v>0.005631531714881881</v>
      </c>
      <c r="O21" s="2">
        <f>EXP(IF(E21&gt;$E$25,IF(E21&gt;$E$26,$Q$19*LN(E21)+$R$19,$Q$18*LN(E21)+$R$18),$Q$17*LN(E21)+$R$17))</f>
        <v>4891.674552647455</v>
      </c>
      <c r="P21" s="34">
        <f>EXP(IF(E21&gt;$E$25,IF(E21&gt;$E$26,$Q$29*LN(E21)+$R$29,$Q$28*LN(E21)+$R$28),$Q$27*LN(E21)+$R$27))</f>
        <v>86.75402450649653</v>
      </c>
      <c r="Q21" s="36">
        <f>LN(INDEX(Material!$E$6:Material!$E$57,type*4+1))</f>
        <v>1.3688183399019842</v>
      </c>
      <c r="R21" s="36">
        <f>LN(INDEX(Material!$H$6:Material!$H$57,type*4+1))</f>
        <v>4.493376918352805</v>
      </c>
      <c r="T21" s="50">
        <f>1.5*J21</f>
        <v>2281.727864617493</v>
      </c>
      <c r="U21" s="50">
        <f>E21/(O21*mu_0*100000)</f>
        <v>0.20711569866096977</v>
      </c>
    </row>
    <row r="22" spans="1:21" ht="12.75">
      <c r="A22" s="21" t="s">
        <v>60</v>
      </c>
      <c r="B22" s="32" t="s">
        <v>47</v>
      </c>
      <c r="C22" s="59">
        <f>1.2*C13</f>
        <v>1.2</v>
      </c>
      <c r="D22" s="60">
        <f>SQRT(H22*H22+L22*L22)</f>
        <v>2140.4827480289814</v>
      </c>
      <c r="E22" s="61">
        <f>2000000*F22*sqrt2/(pi2*f*(do-di)*width)</f>
        <v>129.8548363168867</v>
      </c>
      <c r="F22" s="46">
        <f>1000*C22*(Rs+Rsx+Rb)/(Rb*Nt)</f>
        <v>1216.964220094471</v>
      </c>
      <c r="G22" s="47">
        <f>(D22*$J$13/$D$13-J22)*100/J22</f>
        <v>0.9032729995534694</v>
      </c>
      <c r="H22" s="34">
        <f>F22*1000/(pi2*f*N22)</f>
        <v>1371.831337365213</v>
      </c>
      <c r="I22" s="48">
        <f>(D22-J22)*100/J22</f>
        <v>37.892685152578075</v>
      </c>
      <c r="J22" s="49">
        <f>C22*N*1000/Rb</f>
        <v>1552.2815772718764</v>
      </c>
      <c r="K22" s="34">
        <f>(360/pi2)*ATAN(H22/L22)</f>
        <v>39.85872837696883</v>
      </c>
      <c r="L22" s="34">
        <f>J22+F22/M22</f>
        <v>1643.0901303435764</v>
      </c>
      <c r="M22" s="34">
        <f>N22*pi2*f*TAN(P22*pi2/360)/1000</f>
        <v>13.401427276719037</v>
      </c>
      <c r="N22" s="34">
        <f>O22*mu_0*a_Fe*10/l_Fe</f>
        <v>0.00564749945558896</v>
      </c>
      <c r="O22" s="2">
        <f>EXP(IF(E22&gt;$E$25,IF(E22&gt;$E$26,$Q$19*LN(E22)+$R$19,$Q$18*LN(E22)+$R$18),$Q$17*LN(E22)+$R$17))</f>
        <v>4905.54448978617</v>
      </c>
      <c r="P22" s="34">
        <f>EXP(IF(E22&gt;$E$25,IF(E22&gt;$E$26,$Q$29*LN(E22)+$R$29,$Q$28*LN(E22)+$R$28),$Q$27*LN(E22)+$R$27))</f>
        <v>86.21262194606834</v>
      </c>
      <c r="Q22" s="42">
        <f>LN(INDEX(Material!$E$6:Material!$E$57,type*4+2))</f>
        <v>3.453149866876012</v>
      </c>
      <c r="R22" s="42">
        <f>LN(INDEX(Material!$H$6:Material!$H$57,type*4+2))</f>
        <v>4.484463211590676</v>
      </c>
      <c r="T22" s="50">
        <f>1.5*J22</f>
        <v>2328.4223659078143</v>
      </c>
      <c r="U22" s="50">
        <f>E22/(O22*mu_0*100000)</f>
        <v>0.21075664230100524</v>
      </c>
    </row>
    <row r="23" spans="1:18" ht="12.75">
      <c r="A23" s="21" t="s">
        <v>61</v>
      </c>
      <c r="B23" s="23">
        <v>0.01</v>
      </c>
      <c r="C23">
        <v>0.1</v>
      </c>
      <c r="D23" s="62" t="s">
        <v>62</v>
      </c>
      <c r="E23" s="62" t="s">
        <v>63</v>
      </c>
      <c r="F23" s="21" t="s">
        <v>64</v>
      </c>
      <c r="G23" s="57" t="s">
        <v>65</v>
      </c>
      <c r="L23" s="2"/>
      <c r="M23" s="2"/>
      <c r="N23" s="2"/>
      <c r="O23" s="34"/>
      <c r="P23" s="34"/>
      <c r="Q23" s="36">
        <f>LN(INDEX(Material!$E$6:Material!$E$57,type*4+3))</f>
        <v>4.776530402585333</v>
      </c>
      <c r="R23" s="24">
        <f>LN(INDEX(Material!$H$6:Material!$H$57,type*4+3))</f>
        <v>4.484593870082563</v>
      </c>
    </row>
    <row r="24" spans="1:18" ht="12.75">
      <c r="A24" s="55" t="s">
        <v>66</v>
      </c>
      <c r="B24" s="63">
        <f>Nt*(Rcu*1000*(do-di+(4*th)+(2*width)+2+(2*DCu))/(DCu*DCu*pi2/8))</f>
        <v>0.0009285714285714286</v>
      </c>
      <c r="C24" s="53">
        <f>C23*Rb/(Rb-$C$27)</f>
        <v>-0.005433743193896321</v>
      </c>
      <c r="D24" s="45">
        <f>INDEX(Material!$D$6:Material!$D$57,type*4+1)</f>
        <v>0.008819228039220625</v>
      </c>
      <c r="E24" s="64">
        <f>B_drt*INDEX(Material!$E$6:Material!$E$57,type*4+1)</f>
        <v>3.930703195005648</v>
      </c>
      <c r="F24" s="65">
        <f>$F$22*E24/$E$22</f>
        <v>36.83748163572119</v>
      </c>
      <c r="G24" s="24">
        <f>I13</f>
        <v>36.65828773779052</v>
      </c>
      <c r="H24" s="66">
        <f>D24-($D$27*0.05)</f>
        <v>-0.009724513036624065</v>
      </c>
      <c r="I24" s="67">
        <f>D24+($D$27*0.05)</f>
        <v>0.027362969115065316</v>
      </c>
      <c r="J24" s="34">
        <f>(100-B_derate)/100</f>
        <v>1</v>
      </c>
      <c r="Q24" s="36">
        <f>LN(INDEX(Material!$E$6:Material!$E$57,type*4+4))</f>
        <v>5.523402982501442</v>
      </c>
      <c r="R24" s="24">
        <f>LN(INDEX(Material!$H$6:Material!$H$57,type*4+4))</f>
        <v>4.253791449935344</v>
      </c>
    </row>
    <row r="25" spans="1:19" ht="12.75">
      <c r="A25" s="68" t="s">
        <v>67</v>
      </c>
      <c r="B25" s="69">
        <f>$E$32</f>
        <v>0.7730556218472884</v>
      </c>
      <c r="C25">
        <v>0.3</v>
      </c>
      <c r="D25" s="45">
        <f>INDEX(Material!$D$6:Material!$D$57,type*4+2)</f>
        <v>0.06366197723675815</v>
      </c>
      <c r="E25" s="64">
        <f>B_drt*INDEX(Material!$E$6:Material!$E$57,type*4+2)</f>
        <v>31.59977078337874</v>
      </c>
      <c r="F25" s="65">
        <f>$F$22*E25/$E$22</f>
        <v>296.14446020873896</v>
      </c>
      <c r="H25" s="66">
        <f>D25-($D$27*0.05)</f>
        <v>0.045118236160913455</v>
      </c>
      <c r="I25" s="67">
        <f>D25+($D$27*0.05)</f>
        <v>0.08220571831260284</v>
      </c>
      <c r="Q25" t="s">
        <v>68</v>
      </c>
      <c r="R25" s="2"/>
      <c r="S25" s="2"/>
    </row>
    <row r="26" spans="1:19" ht="12.75">
      <c r="A26" s="70" t="s">
        <v>69</v>
      </c>
      <c r="B26" s="63">
        <f>Rb*Rrel/(Rrel-Rb)</f>
        <v>0.7730675743319765</v>
      </c>
      <c r="C26" s="67">
        <f>C25*Rb/(Rb-$C$27)</f>
        <v>-0.016301229581688965</v>
      </c>
      <c r="D26" s="45">
        <f>INDEX(Material!$D$6:Material!$D$57,type*4+3)</f>
        <v>0.1950743155695158</v>
      </c>
      <c r="E26" s="64">
        <f>B_drt*INDEX(Material!$E$6:Material!$E$57,type*4+3)</f>
        <v>118.69182196683721</v>
      </c>
      <c r="F26" s="65">
        <f>$F$22*E26/$E$22</f>
        <v>1112.347484686483</v>
      </c>
      <c r="G26" s="57" t="s">
        <v>70</v>
      </c>
      <c r="H26" s="66">
        <f>D26-($D$27*0.05)</f>
        <v>0.1765305744936711</v>
      </c>
      <c r="I26" s="67">
        <f>D26+($D$27*0.05)</f>
        <v>0.2136180566453605</v>
      </c>
      <c r="Q26" s="2" t="s">
        <v>71</v>
      </c>
      <c r="R26" s="2" t="s">
        <v>72</v>
      </c>
      <c r="S26" s="2"/>
    </row>
    <row r="27" spans="1:19" ht="12.75">
      <c r="A27" s="9" t="s">
        <v>73</v>
      </c>
      <c r="B27" s="63">
        <f>a_Fe*l_Fe*INDEX(Material!$C$6:Material!$C$60,type*4+2)/1000</f>
        <v>32.24447919</v>
      </c>
      <c r="C27">
        <v>15</v>
      </c>
      <c r="D27" s="45">
        <f>INDEX(Material!$D$6:Material!$D$57,type*4+4)</f>
        <v>0.3708748215168938</v>
      </c>
      <c r="E27" s="45">
        <f>B_drt*INDEX(Material!$E$6:Material!$E$57,type*4+4)</f>
        <v>250.4859879170266</v>
      </c>
      <c r="F27" s="65">
        <f>$F$22*E27/$E$22</f>
        <v>2347.48657482537</v>
      </c>
      <c r="G27" s="45">
        <f>I22</f>
        <v>37.892685152578075</v>
      </c>
      <c r="H27" s="66">
        <f>D27-($D$27*0.05)</f>
        <v>0.35233108044104916</v>
      </c>
      <c r="I27" s="67">
        <f>D27+($D$27*0.05)</f>
        <v>0.3894185625927385</v>
      </c>
      <c r="Q27" s="2">
        <f>(R22-R21)/(Q22-Q21)</f>
        <v>-0.004276530219292518</v>
      </c>
      <c r="R27" s="2">
        <f>(R22*Q11-R21*Q12)/(Q11-Q12)</f>
        <v>4.499230711348119</v>
      </c>
      <c r="S27" s="2"/>
    </row>
    <row r="28" spans="1:20" ht="12.75">
      <c r="A28" s="9" t="s">
        <v>74</v>
      </c>
      <c r="B28" s="63">
        <f>(di+do)*pi2/40</f>
        <v>8.56086</v>
      </c>
      <c r="D28" s="71" t="s">
        <v>75</v>
      </c>
      <c r="Q28" s="2">
        <f>(R23-R22)/(Q23-Q22)</f>
        <v>9.873085507962628E-05</v>
      </c>
      <c r="R28" s="2">
        <f>(R23*Q12-R22*Q13)/(Q12-Q13)</f>
        <v>4.4841222791516016</v>
      </c>
      <c r="T28" s="2"/>
    </row>
    <row r="29" spans="1:18" ht="12.75">
      <c r="A29" s="9" t="s">
        <v>76</v>
      </c>
      <c r="B29" s="63">
        <f>(do-di)*width*Fe_fill/200</f>
        <v>0.7846875</v>
      </c>
      <c r="C29" s="50" t="s">
        <v>44</v>
      </c>
      <c r="D29" t="s">
        <v>77</v>
      </c>
      <c r="E29" t="s">
        <v>78</v>
      </c>
      <c r="F29" t="s">
        <v>27</v>
      </c>
      <c r="G29" t="s">
        <v>25</v>
      </c>
      <c r="H29" s="2" t="s">
        <v>30</v>
      </c>
      <c r="I29" s="2" t="s">
        <v>79</v>
      </c>
      <c r="J29" s="2" t="s">
        <v>31</v>
      </c>
      <c r="K29" s="2" t="s">
        <v>22</v>
      </c>
      <c r="L29" s="2" t="s">
        <v>33</v>
      </c>
      <c r="M29" s="2" t="s">
        <v>32</v>
      </c>
      <c r="P29" s="2"/>
      <c r="Q29" s="2">
        <f>(R24-R23)/(Q24-Q23)</f>
        <v>-0.3090251621945252</v>
      </c>
      <c r="R29" s="67">
        <f>(R24*Q13-R23*Q14)/(Q13-Q14)</f>
        <v>5.960661952468579</v>
      </c>
    </row>
    <row r="30" spans="1:16" ht="12.75">
      <c r="A30" s="14" t="s">
        <v>80</v>
      </c>
      <c r="B30" s="72">
        <f>$N$22*pi2*f*N*N/1000</f>
        <v>0.8871092144839138</v>
      </c>
      <c r="C30" s="24">
        <f>$N$22*N*N</f>
        <v>0.00564749945558896</v>
      </c>
      <c r="D30" s="2">
        <v>1000</v>
      </c>
      <c r="E30" s="67">
        <f>D30*F30/($B$15*COS(ASIN(G30/$B$15))-(I30*1000/H30))</f>
        <v>0.7656525522698716</v>
      </c>
      <c r="F30" s="34">
        <f>Vs*Nt*1000/D30</f>
        <v>1</v>
      </c>
      <c r="G30" s="2">
        <f>I30*1000000/(pi2*f*J30)</f>
        <v>1160.3704594938763</v>
      </c>
      <c r="H30" s="67">
        <f>J30*pi2*f*TAN(L30*pi2/360)/1000</f>
        <v>36.306159024037</v>
      </c>
      <c r="I30" s="67">
        <f>Vs*(Rs+Rsx+D30)/(D30*Nt)</f>
        <v>1.0000109285714287</v>
      </c>
      <c r="J30" s="67">
        <f>M30*mu_0*a_Fe*10/l_Fe</f>
        <v>0.0054863964848189326</v>
      </c>
      <c r="K30" s="67">
        <f>2000000000*I30*sqrt2/(pi2*f*(do-di)*width)</f>
        <v>106.70507259010475</v>
      </c>
      <c r="L30" s="67">
        <f>EXP(IF(K30&gt;$E$25,IF(K30&gt;$E$26,$Q$29*LN(K30)+$R$29,$Q$28*LN(K30)+$R$28),$Q$27*LN(K30)+$R$27))</f>
        <v>88.64001205756239</v>
      </c>
      <c r="M30" s="67">
        <f>EXP(IF(K30&gt;$E$25,IF(K30&gt;$E$26,$Q$19*LN(K30)+$R$19,$Q$18*LN(K30)+$R$18),$Q$17*LN(K30)+$R$17))</f>
        <v>4765.606841847668</v>
      </c>
      <c r="P30" s="2"/>
    </row>
    <row r="31" spans="1:16" ht="12.75">
      <c r="A31" s="9" t="s">
        <v>81</v>
      </c>
      <c r="B31" s="24">
        <f>$H$13</f>
        <v>1174.2250012091686</v>
      </c>
      <c r="C31" s="34"/>
      <c r="D31" s="73">
        <f>E30</f>
        <v>0.7656525522698716</v>
      </c>
      <c r="E31" s="67">
        <f>D31*F31/($B$15*COS(ASIN(G31/$B$15))-(I31*1000/H31))</f>
        <v>0.773129356466225</v>
      </c>
      <c r="F31" s="34">
        <f>Vs*Nt*1000/D31</f>
        <v>1306.0754477149935</v>
      </c>
      <c r="G31" s="2">
        <f>I31*1000000/(pi2*f*J31)</f>
        <v>1174.3589183148247</v>
      </c>
      <c r="H31" s="67">
        <f>J31*pi2*f*TAN(L31*pi2/360)/1000</f>
        <v>36.38866047910057</v>
      </c>
      <c r="I31" s="67">
        <f>Vs*(Rs+Rsx+D31)/(D31*Nt)</f>
        <v>1.0142735388214568</v>
      </c>
      <c r="J31" s="67">
        <f>M31*mu_0*a_Fe*10/l_Fe</f>
        <v>0.005498362292766439</v>
      </c>
      <c r="K31" s="67">
        <f>2000000000*I31*sqrt2/(pi2*f*(do-di)*width)</f>
        <v>108.22694882022527</v>
      </c>
      <c r="L31" s="67">
        <f>EXP(IF(K31&gt;$E$25,IF(K31&gt;$E$26,$Q$29*LN(K31)+$R$29,$Q$28*LN(K31)+$R$28),$Q$27*LN(K31)+$R$27))</f>
        <v>88.6401359938471</v>
      </c>
      <c r="M31" s="67">
        <f>EXP(IF(K31&gt;$E$25,IF(K31&gt;$E$26,$Q$19*LN(K31)+$R$19,$Q$18*LN(K31)+$R$18),$Q$17*LN(K31)+$R$17))</f>
        <v>4776.000610577408</v>
      </c>
      <c r="P31" s="2"/>
    </row>
    <row r="32" spans="1:16" ht="12.75">
      <c r="A32" s="9" t="s">
        <v>82</v>
      </c>
      <c r="B32" s="24">
        <f>$H$13/N</f>
        <v>1174.2250012091686</v>
      </c>
      <c r="C32" s="2"/>
      <c r="D32" s="73">
        <f>E31</f>
        <v>0.773129356466225</v>
      </c>
      <c r="E32" s="24">
        <f>D32*F32/($B$15*COS(ASIN(G32/$B$15))-(I32*1000/H32))</f>
        <v>0.7730556218472884</v>
      </c>
      <c r="F32" s="34">
        <f>Vs*Nt*1000/D32</f>
        <v>1293.4446113529334</v>
      </c>
      <c r="G32" s="24">
        <f>I32*1000000/(pi2*f*J32)</f>
        <v>1174.2236802792384</v>
      </c>
      <c r="H32" s="67">
        <f>J32*pi2*f*TAN(L32*pi2/360)/1000</f>
        <v>36.38786669032109</v>
      </c>
      <c r="I32" s="67">
        <f>Vs*(Rs+Rsx+D32)/(D32*Nt)</f>
        <v>1.0141355018240712</v>
      </c>
      <c r="J32" s="67">
        <f>M32*mu_0*a_Fe*10/l_Fe</f>
        <v>0.005498247169003864</v>
      </c>
      <c r="K32" s="67">
        <f>2000000000*I32*sqrt2/(pi2*f*(do-di)*width)</f>
        <v>108.212219733367</v>
      </c>
      <c r="L32" s="67">
        <f>EXP(IF(K32&gt;$E$25,IF(K32&gt;$E$26,$Q$29*LN(K32)+$R$29,$Q$28*LN(K32)+$R$28),$Q$27*LN(K32)+$R$27))</f>
        <v>88.64013480273331</v>
      </c>
      <c r="M32" s="67">
        <f>EXP(IF(K32&gt;$E$25,IF(K32&gt;$E$26,$Q$19*LN(K32)+$R$19,$Q$18*LN(K32)+$R$18),$Q$17*LN(K32)+$R$17))</f>
        <v>4775.900611499306</v>
      </c>
      <c r="P32" s="2"/>
    </row>
    <row r="33" spans="1:16" ht="12.75">
      <c r="A33" s="9" t="s">
        <v>83</v>
      </c>
      <c r="B33" s="24">
        <f>$H$22</f>
        <v>1371.831337365213</v>
      </c>
      <c r="C33" s="34"/>
      <c r="O33" s="2"/>
      <c r="P33" s="2"/>
    </row>
    <row r="34" spans="1:16" ht="12.75">
      <c r="A34" s="9" t="s">
        <v>84</v>
      </c>
      <c r="B34" s="24">
        <f>$H$22/N</f>
        <v>1371.831337365213</v>
      </c>
      <c r="C34" s="24">
        <f>Vfs*1000/$B$30</f>
        <v>1352.708302887051</v>
      </c>
      <c r="D34" s="9" t="s">
        <v>85</v>
      </c>
      <c r="K34" s="2"/>
      <c r="O34" s="2"/>
      <c r="P34" s="2"/>
    </row>
    <row r="35" spans="1:16" ht="12.75">
      <c r="A35" s="74" t="s">
        <v>86</v>
      </c>
      <c r="B35" s="9"/>
      <c r="K35" s="2"/>
      <c r="O35" s="2"/>
      <c r="P35" s="2"/>
    </row>
    <row r="36" spans="1:16" ht="12.75">
      <c r="A36" s="9" t="s">
        <v>87</v>
      </c>
      <c r="B36" s="9">
        <v>6.2832</v>
      </c>
      <c r="J36" s="2"/>
      <c r="K36" s="2"/>
      <c r="O36" s="2"/>
      <c r="P36" s="2"/>
    </row>
    <row r="37" spans="1:16" ht="12.75">
      <c r="A37" s="9" t="s">
        <v>88</v>
      </c>
      <c r="B37" s="9">
        <f>SQRT(2)</f>
        <v>1.4142135623730951</v>
      </c>
      <c r="J37" s="34"/>
      <c r="K37" s="34"/>
      <c r="O37" s="2"/>
      <c r="P37" s="34"/>
    </row>
    <row r="38" spans="1:16" ht="12.75">
      <c r="A38" s="9" t="s">
        <v>89</v>
      </c>
      <c r="B38" s="9">
        <v>1.7E-08</v>
      </c>
      <c r="J38" s="34"/>
      <c r="K38" s="34"/>
      <c r="O38" s="2"/>
      <c r="P38" s="34"/>
    </row>
    <row r="39" spans="1:16" ht="12.75">
      <c r="A39" s="9" t="s">
        <v>90</v>
      </c>
      <c r="B39" s="75">
        <v>1.256E-06</v>
      </c>
      <c r="J39" s="2"/>
      <c r="K39" s="2"/>
      <c r="O39" s="2"/>
      <c r="P39" s="2"/>
    </row>
    <row r="40" spans="1:16" ht="12.75">
      <c r="A40" s="9" t="s">
        <v>91</v>
      </c>
      <c r="B40" s="9">
        <v>7500</v>
      </c>
      <c r="J40" s="2"/>
      <c r="K40" s="2"/>
      <c r="O40" s="2"/>
      <c r="P40" s="2"/>
    </row>
    <row r="41" spans="1:16" ht="12.75">
      <c r="A41" s="57" t="s">
        <v>92</v>
      </c>
      <c r="B41" s="57">
        <f>EXP(LN(Vfs/Vs)/9)</f>
        <v>1.0204645356768483</v>
      </c>
      <c r="J41" s="34"/>
      <c r="K41" s="34"/>
      <c r="O41" s="2"/>
      <c r="P41" s="34"/>
    </row>
    <row r="42" spans="10:16" ht="12.75">
      <c r="J42" s="34"/>
      <c r="K42" s="34"/>
      <c r="O42" s="2"/>
      <c r="P42" s="34"/>
    </row>
    <row r="43" spans="1:16" ht="12.75">
      <c r="A43" s="55" t="s">
        <v>93</v>
      </c>
      <c r="O43" s="2"/>
      <c r="P43" s="2"/>
    </row>
    <row r="44" spans="1:16" ht="12.75">
      <c r="A44" s="76" t="s">
        <v>94</v>
      </c>
      <c r="B44" s="76">
        <v>0.14</v>
      </c>
      <c r="C44" s="76">
        <v>0.23</v>
      </c>
      <c r="D44" s="76">
        <v>0.28</v>
      </c>
      <c r="E44" s="76">
        <v>0.355</v>
      </c>
      <c r="F44" s="76">
        <v>0.45</v>
      </c>
      <c r="G44" s="76">
        <v>0.63</v>
      </c>
      <c r="H44" s="76">
        <v>0.8</v>
      </c>
      <c r="I44" s="76">
        <v>1</v>
      </c>
      <c r="O44" s="2"/>
      <c r="P44" s="2"/>
    </row>
    <row r="45" spans="1:18" ht="12.75">
      <c r="A45" t="s">
        <v>95</v>
      </c>
      <c r="B45">
        <v>0.166</v>
      </c>
      <c r="C45" s="76">
        <v>0.26</v>
      </c>
      <c r="D45">
        <v>0.315</v>
      </c>
      <c r="E45">
        <v>0.395</v>
      </c>
      <c r="F45">
        <v>0.495</v>
      </c>
      <c r="G45">
        <v>0.684</v>
      </c>
      <c r="H45">
        <v>0.861</v>
      </c>
      <c r="I45">
        <v>1.068</v>
      </c>
      <c r="O45" s="2"/>
      <c r="P45" s="34"/>
      <c r="Q45" s="2"/>
      <c r="R45" s="2"/>
    </row>
    <row r="46" spans="10:18" ht="12.75">
      <c r="J46" s="34"/>
      <c r="K46" s="34"/>
      <c r="O46" s="2"/>
      <c r="P46" s="34"/>
      <c r="Q46" s="2"/>
      <c r="R46" s="2"/>
    </row>
    <row r="47" spans="3:16" ht="12.75">
      <c r="C47" s="2"/>
      <c r="D47" s="2"/>
      <c r="E47" s="2"/>
      <c r="F47" s="2"/>
      <c r="G47" s="2"/>
      <c r="H47" s="2"/>
      <c r="I47" s="2"/>
      <c r="J47" s="2"/>
      <c r="K47" s="2"/>
      <c r="L47" s="73"/>
      <c r="M47" s="2"/>
      <c r="N47" s="2"/>
      <c r="O47" s="2"/>
      <c r="P47" s="2"/>
    </row>
    <row r="48" spans="3:1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3:1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ht="12.75">
      <c r="C50" s="2"/>
      <c r="D50" s="2"/>
      <c r="E50" s="2"/>
      <c r="F50" s="2"/>
      <c r="G50" s="2"/>
      <c r="H50" s="2"/>
      <c r="I50" s="2"/>
      <c r="J50" s="34"/>
      <c r="K50" s="34"/>
      <c r="L50" s="2"/>
      <c r="M50" s="2"/>
      <c r="N50" s="2"/>
      <c r="O50" s="2"/>
      <c r="P50" s="34"/>
    </row>
    <row r="51" spans="3:1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3:16" ht="12.75">
      <c r="C52" s="2"/>
      <c r="D52" s="2"/>
      <c r="E52" s="2"/>
      <c r="F52" s="2"/>
      <c r="G52" s="2"/>
      <c r="H52" s="2"/>
      <c r="I52" s="2"/>
      <c r="J52" s="34"/>
      <c r="K52" s="34"/>
      <c r="L52" s="2"/>
      <c r="M52" s="2"/>
      <c r="N52" s="2"/>
      <c r="O52" s="2"/>
      <c r="P52" s="34"/>
    </row>
    <row r="53" spans="3:16" ht="12.75">
      <c r="C53" s="2"/>
      <c r="D53" s="2"/>
      <c r="E53" s="2"/>
      <c r="F53" s="2"/>
      <c r="G53" s="2"/>
      <c r="H53" s="2"/>
      <c r="I53" s="2"/>
      <c r="J53" s="34"/>
      <c r="K53" s="34"/>
      <c r="L53" s="2"/>
      <c r="M53" s="2"/>
      <c r="N53" s="2"/>
      <c r="O53" s="2"/>
      <c r="P53" s="34"/>
    </row>
    <row r="54" spans="3:1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3:16" ht="12.75">
      <c r="C55" s="2"/>
      <c r="D55" s="2"/>
      <c r="E55" s="2"/>
      <c r="F55" s="2"/>
      <c r="G55" s="2"/>
      <c r="H55" s="2"/>
      <c r="I55" s="2"/>
      <c r="J55" s="34"/>
      <c r="K55" s="34"/>
      <c r="L55" s="2"/>
      <c r="M55" s="2"/>
      <c r="N55" s="2"/>
      <c r="O55" s="2"/>
      <c r="P55" s="34"/>
    </row>
    <row r="56" spans="3:1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ht="12.75">
      <c r="C57" s="2"/>
      <c r="D57" s="2"/>
      <c r="E57" s="2"/>
      <c r="F57" s="2"/>
      <c r="G57" s="2"/>
      <c r="H57" s="2"/>
      <c r="I57" s="2"/>
      <c r="J57" s="34"/>
      <c r="K57" s="34"/>
      <c r="L57" s="2"/>
      <c r="M57" s="2"/>
      <c r="N57" s="2"/>
      <c r="O57" s="2"/>
      <c r="P57" s="34"/>
    </row>
    <row r="58" spans="3:16" ht="12.75">
      <c r="C58" s="2"/>
      <c r="D58" s="2"/>
      <c r="E58" s="2"/>
      <c r="F58" s="2"/>
      <c r="G58" s="2"/>
      <c r="H58" s="2"/>
      <c r="I58" s="2"/>
      <c r="J58" s="34"/>
      <c r="K58" s="34"/>
      <c r="L58" s="2"/>
      <c r="M58" s="2"/>
      <c r="N58" s="2"/>
      <c r="O58" s="2"/>
      <c r="P58" s="34"/>
    </row>
    <row r="59" spans="3:1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workbookViewId="0" topLeftCell="A7">
      <selection activeCell="A30" sqref="A30"/>
    </sheetView>
  </sheetViews>
  <sheetFormatPr defaultColWidth="9.140625" defaultRowHeight="12.75"/>
  <cols>
    <col min="1" max="1" width="2.8515625" style="0" customWidth="1"/>
    <col min="2" max="2" width="13.28125" style="76" customWidth="1"/>
    <col min="3" max="3" width="5.140625" style="0" customWidth="1"/>
    <col min="4" max="4" width="7.00390625" style="0" customWidth="1"/>
    <col min="5" max="5" width="6.140625" style="0" customWidth="1"/>
    <col min="6" max="6" width="7.7109375" style="0" customWidth="1"/>
    <col min="7" max="7" width="8.421875" style="0" customWidth="1"/>
    <col min="8" max="8" width="6.57421875" style="0" customWidth="1"/>
    <col min="9" max="9" width="11.28125" style="0" customWidth="1"/>
    <col min="10" max="10" width="10.8515625" style="0" customWidth="1"/>
    <col min="11" max="11" width="4.57421875" style="0" customWidth="1"/>
    <col min="12" max="12" width="7.421875" style="0" customWidth="1"/>
    <col min="13" max="13" width="5.421875" style="0" customWidth="1"/>
    <col min="14" max="14" width="10.57421875" style="0" customWidth="1"/>
    <col min="15" max="15" width="12.421875" style="0" customWidth="1"/>
    <col min="21" max="21" width="5.140625" style="0" customWidth="1"/>
  </cols>
  <sheetData>
    <row r="1" spans="2:10" ht="12.75">
      <c r="B1" s="55" t="s">
        <v>96</v>
      </c>
      <c r="F1" s="77" t="s">
        <v>97</v>
      </c>
      <c r="G1" s="78"/>
      <c r="H1" s="78"/>
      <c r="I1" s="78"/>
      <c r="J1" s="79"/>
    </row>
    <row r="2" spans="2:10" ht="12.75">
      <c r="B2" s="55"/>
      <c r="F2" s="80" t="s">
        <v>98</v>
      </c>
      <c r="G2" s="3"/>
      <c r="H2" s="3"/>
      <c r="I2" s="3"/>
      <c r="J2" s="16"/>
    </row>
    <row r="3" spans="2:10" ht="12.75">
      <c r="B3" s="81" t="s">
        <v>99</v>
      </c>
      <c r="C3" s="82">
        <v>50</v>
      </c>
      <c r="F3" s="83" t="s">
        <v>100</v>
      </c>
      <c r="G3" s="65"/>
      <c r="H3" s="65"/>
      <c r="I3" s="65"/>
      <c r="J3" s="84"/>
    </row>
    <row r="4" spans="1:14" s="87" customFormat="1" ht="12.75">
      <c r="A4" s="85" t="s">
        <v>101</v>
      </c>
      <c r="B4" s="86" t="s">
        <v>102</v>
      </c>
      <c r="C4" s="87" t="s">
        <v>103</v>
      </c>
      <c r="D4" s="87" t="s">
        <v>35</v>
      </c>
      <c r="E4" s="87" t="s">
        <v>22</v>
      </c>
      <c r="F4" s="85" t="s">
        <v>104</v>
      </c>
      <c r="G4" s="87" t="s">
        <v>105</v>
      </c>
      <c r="H4" s="87" t="s">
        <v>33</v>
      </c>
      <c r="I4" s="87" t="s">
        <v>106</v>
      </c>
      <c r="J4" s="87" t="s">
        <v>107</v>
      </c>
      <c r="K4" s="87" t="s">
        <v>17</v>
      </c>
      <c r="L4" s="87" t="s">
        <v>108</v>
      </c>
      <c r="M4" s="87" t="s">
        <v>109</v>
      </c>
      <c r="N4" s="87" t="s">
        <v>110</v>
      </c>
    </row>
    <row r="5" spans="2:8" s="88" customFormat="1" ht="12.75">
      <c r="B5" s="89"/>
      <c r="C5" s="88" t="s">
        <v>15</v>
      </c>
      <c r="D5" s="88" t="s">
        <v>45</v>
      </c>
      <c r="E5" s="88" t="s">
        <v>39</v>
      </c>
      <c r="H5" s="88" t="s">
        <v>42</v>
      </c>
    </row>
    <row r="6" spans="1:18" ht="12.75">
      <c r="A6" s="90">
        <v>0</v>
      </c>
      <c r="B6" s="91" t="s">
        <v>111</v>
      </c>
      <c r="D6" s="92">
        <f>Test_dat!$Q$24</f>
        <v>0.0003161408679253357</v>
      </c>
      <c r="E6" s="92">
        <f>Test_dat!$R$24</f>
        <v>3.5293382525173755</v>
      </c>
      <c r="F6" s="63">
        <f>E6/(100000*D6*mu_0)</f>
        <v>88883.87963143521</v>
      </c>
      <c r="G6" s="63">
        <f>pi2*f_spec*E6*E6/(1000000*F6*mu_0*TAN(H6*pi2/360)*m_Fe)</f>
        <v>5.593781751092746E-07</v>
      </c>
      <c r="H6" s="93">
        <f>Test_dat!$P$24</f>
        <v>83.17478978046682</v>
      </c>
      <c r="I6" s="67">
        <f>Test_dat!$U24</f>
        <v>0</v>
      </c>
      <c r="J6" s="63">
        <f>EXP(M6*LN(E6)+N6)</f>
        <v>5.612561293867649E-07</v>
      </c>
      <c r="K6" s="67">
        <f>LN(E6)</f>
        <v>1.261110389495559</v>
      </c>
      <c r="L6" s="67">
        <f>LN(G6)</f>
        <v>-14.396440071760395</v>
      </c>
      <c r="M6" s="67">
        <f>INDEX(LINEST(L6:L9,K6:K9),1)</f>
        <v>2.2634813793306616</v>
      </c>
      <c r="N6" s="67">
        <f>INDEX(LINEST(L6:L9,K6:K9),2)</f>
        <v>-17.24758836089684</v>
      </c>
      <c r="O6" s="2"/>
      <c r="P6" s="23">
        <v>59</v>
      </c>
      <c r="Q6" s="23">
        <v>72</v>
      </c>
      <c r="R6" s="23">
        <v>16</v>
      </c>
    </row>
    <row r="7" spans="2:12" ht="12.75">
      <c r="B7" s="73" t="str">
        <f>Test_dat!$A$24</f>
        <v>TC55DC</v>
      </c>
      <c r="C7">
        <v>7500</v>
      </c>
      <c r="D7" s="92">
        <f>Test_dat!$Q$25</f>
        <v>0.0013229808059918942</v>
      </c>
      <c r="E7" s="92">
        <f>Test_dat!$R$25</f>
        <v>16.647821945836675</v>
      </c>
      <c r="F7" s="63">
        <f>E7/(100000*D7*mu_0)</f>
        <v>100187.66143214944</v>
      </c>
      <c r="G7" s="63">
        <f>pi2*f_spec*E7*E7/(1000000*F7*mu_0*TAN(H7*pi2/360)*m_Fe)</f>
        <v>1.892700651017576E-05</v>
      </c>
      <c r="H7" s="93">
        <f>Test_dat!$P$25</f>
        <v>78.40618787781935</v>
      </c>
      <c r="I7" s="67">
        <f>Test_dat!$U25</f>
        <v>0</v>
      </c>
      <c r="J7" s="63">
        <f>EXP(M6*LN(E7)+N6)</f>
        <v>1.879261997832602E-05</v>
      </c>
      <c r="K7" s="67">
        <f>LN(E7)</f>
        <v>2.8122793938056834</v>
      </c>
      <c r="L7" s="67">
        <f>LN(G7)</f>
        <v>-10.874920739945182</v>
      </c>
    </row>
    <row r="8" spans="2:12" ht="12.75">
      <c r="B8" s="73"/>
      <c r="C8" s="67">
        <f>Test_dat!$F$8</f>
        <v>0.93</v>
      </c>
      <c r="D8" s="92">
        <f>Test_dat!$Q$26</f>
        <v>0.004446590033645483</v>
      </c>
      <c r="E8" s="92">
        <f>Test_dat!$R$26</f>
        <v>79.90954534001604</v>
      </c>
      <c r="F8" s="63">
        <f>E8/(100000*D8*mu_0)</f>
        <v>143080.98788764462</v>
      </c>
      <c r="G8" s="63">
        <f>pi2*f_spec*E8*E8/(1000000*F8*mu_0*TAN(H8*pi2/360)*m_Fe)</f>
        <v>0.0006511966373184028</v>
      </c>
      <c r="H8" s="93">
        <f>Test_dat!$P$26</f>
        <v>66.36956028930895</v>
      </c>
      <c r="I8" s="67">
        <f>Test_dat!$U26</f>
        <v>0</v>
      </c>
      <c r="J8" s="63">
        <f>EXP(M6*LN(E8)+N6)</f>
        <v>0.0006545821937308335</v>
      </c>
      <c r="K8" s="67">
        <f>LN(E8)</f>
        <v>4.380895311719529</v>
      </c>
      <c r="L8" s="67">
        <f>LN(G8)</f>
        <v>-7.336698907112368</v>
      </c>
    </row>
    <row r="9" spans="2:12" ht="12.75">
      <c r="B9" s="73"/>
      <c r="D9" s="92">
        <f>Test_dat!$Q$27</f>
        <v>0.00623347320017999</v>
      </c>
      <c r="E9" s="92">
        <f>Test_dat!$R$27</f>
        <v>133.1825755666934</v>
      </c>
      <c r="F9" s="63">
        <f>E9/(100000*D9*mu_0)</f>
        <v>170109.14950993395</v>
      </c>
      <c r="G9" s="63">
        <f>pi2*f_spec*E9*E9/(1000000*F9*mu_0*TAN(H9*pi2/360)*m_Fe)</f>
        <v>0.0020831844170271364</v>
      </c>
      <c r="H9" s="93">
        <f>Test_dat!$P$27</f>
        <v>59.076289416674385</v>
      </c>
      <c r="I9" t="str">
        <f>Test_dat!$U27</f>
        <v>THD [%]:0.05</v>
      </c>
      <c r="J9" s="63">
        <f>EXP(M6*LN(E9)+N6)</f>
        <v>0.0020802460259780942</v>
      </c>
      <c r="K9" s="67">
        <f>LN(E9)</f>
        <v>4.89172093548552</v>
      </c>
      <c r="L9" s="67">
        <f>LN(G9)</f>
        <v>-6.173857586283716</v>
      </c>
    </row>
    <row r="10" spans="1:15" ht="12.75">
      <c r="A10" s="94">
        <v>1</v>
      </c>
      <c r="B10" s="95" t="s">
        <v>112</v>
      </c>
      <c r="D10" s="93">
        <f>Test_dat!$Q$20</f>
        <v>0.0004109147470702179</v>
      </c>
      <c r="E10" s="93">
        <f>Test_dat!$R$20</f>
        <v>1.9815760375286202</v>
      </c>
      <c r="F10" s="63">
        <f>E10/(100000*D10*mu_0)</f>
        <v>38394.53169343296</v>
      </c>
      <c r="G10" s="2">
        <v>8.815026862112231E-07</v>
      </c>
      <c r="H10" s="63">
        <f>(360/pi2)*ATAN(pi2*f*E10*E10/(G10*m_Fe*1000000*F10*mu_0))</f>
        <v>89.9701737651457</v>
      </c>
      <c r="I10" s="67">
        <f>Test_dat!$U12</f>
        <v>0</v>
      </c>
      <c r="J10" s="63">
        <f>EXP(M10*LN(E10)+N10)</f>
        <v>9.255936815273073E-07</v>
      </c>
      <c r="K10" s="67">
        <f>LN(E10)</f>
        <v>0.6838925066333318</v>
      </c>
      <c r="L10" s="67">
        <f>LN(G10)</f>
        <v>-13.941637787794669</v>
      </c>
      <c r="M10" s="67">
        <f>INDEX(LINEST(L10:L13,K10:K13),1)</f>
        <v>1.6714098861381668</v>
      </c>
      <c r="N10" s="67">
        <f>INDEX(LINEST(L10:L13,K10:K13),2)</f>
        <v>-15.03589518408639</v>
      </c>
      <c r="O10" s="2"/>
    </row>
    <row r="11" spans="2:12" ht="12.75">
      <c r="B11" s="73" t="s">
        <v>113</v>
      </c>
      <c r="C11">
        <v>8600</v>
      </c>
      <c r="D11" s="93">
        <f>Test_dat!$Q$21</f>
        <v>0.000945103918261501</v>
      </c>
      <c r="E11" s="93">
        <f>Test_dat!$R$21</f>
        <v>4.953940093821551</v>
      </c>
      <c r="F11" s="63">
        <f>E11/(100000*D11*mu_0)</f>
        <v>41733.1866232967</v>
      </c>
      <c r="G11" s="96">
        <v>4.2E-06</v>
      </c>
      <c r="H11" s="63">
        <f>(360/pi2)*ATAN(pi2*f*E11*E11/(G11*m_Fe*1000000*F11*mu_0))</f>
        <v>89.97524918089863</v>
      </c>
      <c r="I11" s="67">
        <f>Test_dat!$U13</f>
        <v>0</v>
      </c>
      <c r="J11" s="63">
        <f>EXP(M10*LN(E11)+N10)</f>
        <v>4.280960748500377E-06</v>
      </c>
      <c r="K11" s="67">
        <f>LN(E11)</f>
        <v>1.6001832385074868</v>
      </c>
      <c r="L11" s="67">
        <f>LN(G11)</f>
        <v>-12.380426032674952</v>
      </c>
    </row>
    <row r="12" spans="2:12" ht="12.75">
      <c r="B12" s="73"/>
      <c r="C12" s="67">
        <f>Test_dat!$F$8</f>
        <v>0.93</v>
      </c>
      <c r="D12" s="92">
        <f>Test_dat!$Q$22</f>
        <v>0.002136756684765133</v>
      </c>
      <c r="E12" s="92">
        <f>Test_dat!$R$22</f>
        <v>12.384850234553877</v>
      </c>
      <c r="F12" s="63">
        <f>E12/(100000*D12*mu_0)</f>
        <v>46147.27366999153</v>
      </c>
      <c r="G12" s="2">
        <v>2.2E-05</v>
      </c>
      <c r="H12" s="63">
        <f>(360/pi2)*ATAN(pi2*f*E12*E12/(G12*m_Fe*1000000*F12*mu_0))</f>
        <v>89.97704700930626</v>
      </c>
      <c r="I12" s="67">
        <f>Test_dat!$U14</f>
        <v>0</v>
      </c>
      <c r="J12" s="63">
        <f>EXP(M10*LN(E12)+N10)</f>
        <v>1.979985958845402E-05</v>
      </c>
      <c r="K12" s="67">
        <f>LN(E12)</f>
        <v>2.516473970381642</v>
      </c>
      <c r="L12" s="67">
        <f>LN(G12)</f>
        <v>-10.724468104605958</v>
      </c>
    </row>
    <row r="13" spans="2:12" ht="12.75">
      <c r="B13" s="73"/>
      <c r="D13">
        <v>0.018</v>
      </c>
      <c r="E13">
        <v>215</v>
      </c>
      <c r="F13" s="63">
        <f>E13/(100000*D13*mu_0)</f>
        <v>95099.07997169146</v>
      </c>
      <c r="G13" s="2">
        <v>0.00225</v>
      </c>
      <c r="H13" s="63">
        <f>(360/pi2)*ATAN(pi2*f*E13*E13/(G13*m_Fe*1000000*F13*mu_0))</f>
        <v>89.98388454661142</v>
      </c>
      <c r="I13" t="str">
        <f>Test_dat!$U15</f>
        <v>THD [%]:3.21</v>
      </c>
      <c r="J13" s="63">
        <f>EXP(M10*LN(E13)+N10)</f>
        <v>0.002335900780535056</v>
      </c>
      <c r="K13" s="67">
        <f>LN(E13)</f>
        <v>5.3706380281276624</v>
      </c>
      <c r="L13" s="67">
        <f>LN(G13)</f>
        <v>-6.0968250627658085</v>
      </c>
    </row>
    <row r="14" spans="1:15" ht="12.75">
      <c r="A14" s="97">
        <v>2</v>
      </c>
      <c r="B14" s="98" t="s">
        <v>114</v>
      </c>
      <c r="D14" s="2">
        <v>0.0012</v>
      </c>
      <c r="E14" s="2">
        <v>1</v>
      </c>
      <c r="F14" s="63">
        <f>E14/(100000*D14*mu_0)</f>
        <v>6634.819532908707</v>
      </c>
      <c r="G14" s="99">
        <f>EXP(M14*LN(E14)+N14)</f>
        <v>8.00615812140745E-07</v>
      </c>
      <c r="H14" s="63">
        <f>(360/pi2)*ATAN(pi2*f*E14*E14/(G14*m_Fe*1000000*F14*mu_0))</f>
        <v>89.98153777543206</v>
      </c>
      <c r="J14" s="63">
        <f>EXP(M14*LN(E14)+N14)</f>
        <v>8.00615812140745E-07</v>
      </c>
      <c r="K14" s="67">
        <f>LN(E14)</f>
        <v>0</v>
      </c>
      <c r="M14" s="67">
        <f>INDEX(LINEST(L16:L17,K16:K17),1)</f>
        <v>1.7271424669768334</v>
      </c>
      <c r="N14" s="67">
        <f>INDEX(LINEST(L16:L17,K16:K17),2)</f>
        <v>-14.037884640219815</v>
      </c>
      <c r="O14" s="2"/>
    </row>
    <row r="15" spans="3:15" ht="12.75">
      <c r="C15">
        <v>8250</v>
      </c>
      <c r="D15">
        <v>0.007</v>
      </c>
      <c r="E15">
        <v>17.5</v>
      </c>
      <c r="F15" s="63">
        <f>E15/(100000*D15*mu_0)</f>
        <v>19904.458598726116</v>
      </c>
      <c r="G15" s="99">
        <f>EXP(M14*LN(E15)+N14)</f>
        <v>0.00011228660862728872</v>
      </c>
      <c r="H15" s="63">
        <f>(360/pi2)*ATAN(pi2*f*E15*E15/(G15*m_Fe*1000000*F15*mu_0))</f>
        <v>89.97471379683029</v>
      </c>
      <c r="J15" s="63">
        <f>EXP(M14*LN(E15)+N14)</f>
        <v>0.00011228660862728872</v>
      </c>
      <c r="K15" s="67">
        <f>LN(E15)</f>
        <v>2.8622008809294686</v>
      </c>
      <c r="O15" s="2"/>
    </row>
    <row r="16" spans="3:15" ht="12.75">
      <c r="C16">
        <v>0.9</v>
      </c>
      <c r="D16">
        <v>0.025</v>
      </c>
      <c r="E16">
        <v>80</v>
      </c>
      <c r="F16" s="63">
        <f>E16/(100000*D16*mu_0)</f>
        <v>25477.707006369426</v>
      </c>
      <c r="G16" s="2">
        <v>0.00155</v>
      </c>
      <c r="H16" s="63">
        <f>(360/pi2)*ATAN(pi2*f*E16*E16/(G16*m_Fe*1000000*F16*mu_0))</f>
        <v>89.97858818378906</v>
      </c>
      <c r="J16" s="63">
        <f>EXP(M14*LN(E16)+N14)</f>
        <v>0.0015500000000000082</v>
      </c>
      <c r="K16" s="67">
        <f>LN(E16)</f>
        <v>4.382026634673881</v>
      </c>
      <c r="L16" s="67">
        <f>LN(G16)</f>
        <v>-6.469500348050982</v>
      </c>
      <c r="O16" s="2"/>
    </row>
    <row r="17" spans="4:15" ht="12.75">
      <c r="D17">
        <v>0.06</v>
      </c>
      <c r="E17">
        <v>510</v>
      </c>
      <c r="F17" s="63">
        <f>E17/(100000*D17*mu_0)</f>
        <v>67675.15923566879</v>
      </c>
      <c r="G17">
        <v>0.038</v>
      </c>
      <c r="H17" s="63">
        <f>(360/pi2)*ATAN(pi2*f*E17*E17/(G17*m_Fe*1000000*F17*mu_0))</f>
        <v>89.9658173073392</v>
      </c>
      <c r="I17" t="s">
        <v>115</v>
      </c>
      <c r="J17" s="63">
        <f>EXP(M14*LN(E17)+N14)</f>
        <v>0.037999999999999805</v>
      </c>
      <c r="K17" s="67">
        <f>LN(E17)</f>
        <v>6.234410725718371</v>
      </c>
      <c r="L17" s="67">
        <f>LN(G17)</f>
        <v>-3.270169119255751</v>
      </c>
      <c r="O17" s="2"/>
    </row>
    <row r="18" spans="1:14" ht="12.75">
      <c r="A18" s="22">
        <v>3</v>
      </c>
      <c r="B18" s="100" t="s">
        <v>116</v>
      </c>
      <c r="D18" s="93">
        <f>Test_dat!$Q$66</f>
        <v>0.00020937539786763896</v>
      </c>
      <c r="E18" s="93">
        <f>Test_dat!$R$66</f>
        <v>0.021183863784255234</v>
      </c>
      <c r="F18" s="93">
        <f>Test_dat!$S$66</f>
        <v>805.545147995504</v>
      </c>
      <c r="G18" s="63">
        <f>pi2*f_spec*E18*E18/(1000000*F18*mu_0*TAN(H18*pi2/360)*m_Fe)</f>
        <v>2.051998135246307E-09</v>
      </c>
      <c r="H18" s="93">
        <f>Test_dat!$P$66</f>
        <v>83.69716474040105</v>
      </c>
      <c r="J18" s="63">
        <f>EXP(M18*LN(E18)+N18)</f>
        <v>2.9830700744610043E-09</v>
      </c>
      <c r="K18" s="67">
        <f>LN(E18)</f>
        <v>-3.854515529372116</v>
      </c>
      <c r="L18" s="67">
        <f>LN(G18)</f>
        <v>-20.004451818387665</v>
      </c>
      <c r="M18" s="67">
        <f>INDEX(LINEST(L18:L21,K18:K21),1)</f>
        <v>1.7822535181561718</v>
      </c>
      <c r="N18" s="67">
        <f>INDEX(LINEST(L18:L21,K18:K21),2)</f>
        <v>-12.760588977407794</v>
      </c>
    </row>
    <row r="19" spans="3:12" ht="12.75">
      <c r="C19">
        <v>7500</v>
      </c>
      <c r="D19" s="93">
        <f>Test_dat!$Q$67</f>
        <v>0.004187507957352779</v>
      </c>
      <c r="E19" s="93">
        <f>Test_dat!$R$67</f>
        <v>0.5295965946063809</v>
      </c>
      <c r="F19" s="93">
        <f>Test_dat!$S$67</f>
        <v>1006.9314349943801</v>
      </c>
      <c r="G19" s="63">
        <f>pi2*f_spec*E19*E19/(1000000*F19*mu_0*TAN(H19*pi2/360)*m_Fe)</f>
        <v>1.636551538681248E-06</v>
      </c>
      <c r="H19" s="93">
        <f>Test_dat!$P$67</f>
        <v>80.00837218732426</v>
      </c>
      <c r="J19" s="63">
        <f>EXP(M18*LN(E19)+N18)</f>
        <v>9.250111207816128E-07</v>
      </c>
      <c r="K19" s="67">
        <f>LN(E19)</f>
        <v>-0.6356397045039152</v>
      </c>
      <c r="L19" s="67">
        <f>LN(G19)</f>
        <v>-13.322919250264752</v>
      </c>
    </row>
    <row r="20" spans="3:12" ht="12.75">
      <c r="C20" s="67">
        <f>Test_dat!$F$8</f>
        <v>0.93</v>
      </c>
      <c r="D20" s="93">
        <f>Test_dat!$Q$68</f>
        <v>0.010468769893381948</v>
      </c>
      <c r="E20" s="93">
        <f>Test_dat!$R$68</f>
        <v>24.714507748297773</v>
      </c>
      <c r="F20" s="93">
        <f>Test_dat!$S$68</f>
        <v>18796.053453228425</v>
      </c>
      <c r="G20" s="63">
        <f>pi2*f_spec*E20*E20/(1000000*F20*mu_0*TAN(H20*pi2/360)*m_Fe)</f>
        <v>0.0008075475462866684</v>
      </c>
      <c r="H20" s="93">
        <f>Test_dat!$P$68</f>
        <v>53.30905029638216</v>
      </c>
      <c r="J20" s="63">
        <f>EXP(M18*LN(E20)+N18)</f>
        <v>0.0008724492249831753</v>
      </c>
      <c r="K20" s="67">
        <f>LN(E20)</f>
        <v>3.2073904294372793</v>
      </c>
      <c r="L20" s="67">
        <f>LN(G20)</f>
        <v>-7.1215086237505085</v>
      </c>
    </row>
    <row r="21" spans="4:12" ht="12.75">
      <c r="D21" s="93">
        <f>Test_dat!$Q$69</f>
        <v>0.14656277850734725</v>
      </c>
      <c r="E21" s="93">
        <f>Test_dat!$R$69</f>
        <v>1076.8464090329744</v>
      </c>
      <c r="F21" s="93">
        <f>Test_dat!$S$69</f>
        <v>58497.92146157827</v>
      </c>
      <c r="G21" s="63">
        <f>pi2*f_spec*E21*E21/(1000000*F21*mu_0*TAN(H21*pi2/360)*m_Fe)</f>
        <v>0.6463818528806546</v>
      </c>
      <c r="H21" s="93">
        <f>Test_dat!$P$69</f>
        <v>45.6448317194852</v>
      </c>
      <c r="J21" s="63">
        <f>EXP(M18*LN(E21)+N18)</f>
        <v>0.7281373938301307</v>
      </c>
      <c r="K21" s="67">
        <f>LN(E21)</f>
        <v>6.981792056989378</v>
      </c>
      <c r="L21" s="67">
        <f>LN(G21)</f>
        <v>-0.4363648463019879</v>
      </c>
    </row>
    <row r="22" spans="1:14" ht="12.75">
      <c r="A22" s="101">
        <v>4</v>
      </c>
      <c r="B22" s="102" t="s">
        <v>117</v>
      </c>
      <c r="D22" s="93">
        <v>0.004187507957352779</v>
      </c>
      <c r="E22" s="93">
        <v>0.9327579661761031</v>
      </c>
      <c r="F22" s="63">
        <f>E22/(100000*D22*mu_0)</f>
        <v>1773.4693292018133</v>
      </c>
      <c r="G22" s="63">
        <f>pi2*f_spec*E22*E22/(1000000*F22*mu_0*TAN(H22*pi2/360)*m_Fe)</f>
        <v>4.068238900119964E-06</v>
      </c>
      <c r="H22" s="93">
        <v>76.03628538316896</v>
      </c>
      <c r="J22" s="63">
        <f>EXP(M22*LN(E22)+N22)</f>
        <v>4.3882749982347265E-06</v>
      </c>
      <c r="K22" s="67">
        <f>LN(E22)</f>
        <v>-0.06960952639082899</v>
      </c>
      <c r="L22" s="67">
        <f>LN(G22)</f>
        <v>-12.412300354825813</v>
      </c>
      <c r="M22" s="67">
        <f>INDEX(LINEST(L24:L25,K24:K25),1)</f>
        <v>1.8649807705053683</v>
      </c>
      <c r="N22" s="67">
        <f>INDEX(LINEST(L24:L25,K24:K25),2)</f>
        <v>-12.206753918833726</v>
      </c>
    </row>
    <row r="23" spans="3:11" ht="12.75">
      <c r="C23">
        <v>7650</v>
      </c>
      <c r="D23" s="93">
        <v>0.014656277850734726</v>
      </c>
      <c r="E23" s="93">
        <v>21.291214445324094</v>
      </c>
      <c r="F23" s="63">
        <f>E23/(100000*D23*mu_0)</f>
        <v>11566.104320881392</v>
      </c>
      <c r="G23" s="63">
        <f>pi2*f_spec*E23*E23/(1000000*F23*mu_0*TAN(H23*pi2/360)*m_Fe)</f>
        <v>2.9975911362885785E-06</v>
      </c>
      <c r="H23" s="63">
        <f>(360/pi2)*ATAN(pi2*f*E23*E23/(J23*m_Fe*1000000*F23*mu_0))</f>
        <v>89.86839434062259</v>
      </c>
      <c r="J23" s="63">
        <f>EXP(M22*LN(E23)+N22)</f>
        <v>0.0014987955681442418</v>
      </c>
      <c r="K23" s="67">
        <f>LN(E23)</f>
        <v>3.0582945202716454</v>
      </c>
    </row>
    <row r="24" spans="3:12" ht="12.75">
      <c r="C24">
        <v>0.95</v>
      </c>
      <c r="D24" s="93">
        <v>0.05234384946690974</v>
      </c>
      <c r="E24" s="93">
        <v>130.7888887355623</v>
      </c>
      <c r="F24" s="63">
        <f>E24/(100000*D24*mu_0)</f>
        <v>19893.699431915993</v>
      </c>
      <c r="G24" s="63">
        <f>pi2*f_spec*E24*E24/(1000000*F24*mu_0*TAN(H24*pi2/360)*m_Fe)</f>
        <v>0.04426271663141229</v>
      </c>
      <c r="H24" s="93">
        <v>32.93792627876897</v>
      </c>
      <c r="J24" s="63">
        <f>EXP(M22*LN(E24)+N22)</f>
        <v>0.044262716631412694</v>
      </c>
      <c r="K24" s="67">
        <f>LN(E24)</f>
        <v>4.873584486909895</v>
      </c>
      <c r="L24" s="67">
        <f>LN(G24)</f>
        <v>-3.1176125673135098</v>
      </c>
    </row>
    <row r="25" spans="4:12" ht="12.75">
      <c r="D25" s="93">
        <v>0.16750031829411116</v>
      </c>
      <c r="E25" s="93">
        <v>699.5684746320774</v>
      </c>
      <c r="F25" s="63">
        <f>E25/(100000*D25*mu_0)</f>
        <v>33252.549922533995</v>
      </c>
      <c r="G25" s="63">
        <f>pi2*f_spec*E25*E25/(1000000*F25*mu_0*TAN(H25*pi2/360)*m_Fe)</f>
        <v>1.0097824206232298</v>
      </c>
      <c r="H25" s="93">
        <v>25.92339560796984</v>
      </c>
      <c r="I25" t="s">
        <v>115</v>
      </c>
      <c r="J25" s="63">
        <f>EXP(M22*LN(E25)+N22)</f>
        <v>1.009782420623222</v>
      </c>
      <c r="K25" s="67">
        <f>LN(E25)</f>
        <v>6.5504636801395275</v>
      </c>
      <c r="L25" s="67">
        <f>LN(G25)</f>
        <v>0.009734882520327622</v>
      </c>
    </row>
    <row r="26" spans="1:14" ht="12.75">
      <c r="A26" s="103">
        <v>5</v>
      </c>
      <c r="B26" s="104" t="s">
        <v>118</v>
      </c>
      <c r="D26" s="93">
        <f>Test_dat!$Q$60</f>
        <v>0.009786024030770082</v>
      </c>
      <c r="E26" s="93">
        <f>Test_dat!$R$60</f>
        <v>0.15005236847180792</v>
      </c>
      <c r="F26" s="63">
        <f>E26/(100000*D26*mu_0)</f>
        <v>122.08067940552017</v>
      </c>
      <c r="G26" s="63">
        <f>pi2*f_spec*E26*E26/(1000000*F26*mu_0*TAN(H26*pi2/360)*m_Fe)</f>
        <v>1.0712790364189018E-08</v>
      </c>
      <c r="H26" s="2">
        <v>89.9</v>
      </c>
      <c r="I26" t="s">
        <v>119</v>
      </c>
      <c r="J26" s="63">
        <f>EXP(M26*LN(E26)+N26)</f>
        <v>1.0805551427676812E-08</v>
      </c>
      <c r="K26" s="67">
        <f>LN(E26)</f>
        <v>-1.8967709226697997</v>
      </c>
      <c r="L26" s="67">
        <f>LN(G26)</f>
        <v>-18.35182744821468</v>
      </c>
      <c r="M26" s="67">
        <f>INDEX(LINEST(L26:L29,K26:K29),1)</f>
        <v>1.356736105496438</v>
      </c>
      <c r="N26" s="67">
        <f>INDEX(LINEST(L26:L29,K26:K29),2)</f>
        <v>-15.769788219156723</v>
      </c>
    </row>
    <row r="27" spans="3:12" ht="12.75">
      <c r="C27">
        <v>7650</v>
      </c>
      <c r="D27" s="93">
        <f>Test_dat!$Q$61</f>
        <v>0.03914409612308033</v>
      </c>
      <c r="E27" s="93">
        <f>Test_dat!$R$61</f>
        <v>6.9024089497031635</v>
      </c>
      <c r="F27" s="63">
        <f>E27/(100000*D27*mu_0)</f>
        <v>1403.927813163482</v>
      </c>
      <c r="G27" s="63">
        <f>pi2*f_spec*E27*E27/(1000000*F27*mu_0*TAN(H27*pi2/360)*m_Fe)</f>
        <v>1.971153427010779E-06</v>
      </c>
      <c r="H27" s="2">
        <v>89.9</v>
      </c>
      <c r="J27" s="63">
        <f>EXP(M26*LN(E27)+N26)</f>
        <v>1.9479173219341567E-06</v>
      </c>
      <c r="K27" s="67">
        <f>LN(E27)</f>
        <v>1.931870473819295</v>
      </c>
      <c r="L27" s="67">
        <f>LN(G27)</f>
        <v>-13.136891690605696</v>
      </c>
    </row>
    <row r="28" spans="3:12" ht="12.75">
      <c r="C28" s="67">
        <f>Test_dat!$F$8</f>
        <v>0.93</v>
      </c>
      <c r="D28" s="93">
        <f>Test_dat!$Q$62</f>
        <v>0.11743228836924098</v>
      </c>
      <c r="E28" s="93">
        <f>Test_dat!$R$62</f>
        <v>150.0523684718079</v>
      </c>
      <c r="F28" s="63">
        <f>E28/(100000*D28*mu_0)</f>
        <v>10173.389950460014</v>
      </c>
      <c r="G28" s="63">
        <f>pi2*f_spec*E28*E28/(1000000*F28*mu_0*TAN(H28*pi2/360)*m_Fe)</f>
        <v>0.00012855348437026818</v>
      </c>
      <c r="H28" s="2">
        <v>89.9</v>
      </c>
      <c r="J28" s="63">
        <f>EXP(M26*LN(E28)+N26)</f>
        <v>0.00012701506977875535</v>
      </c>
      <c r="K28" s="67">
        <f>LN(E28)</f>
        <v>5.0109843563123375</v>
      </c>
      <c r="L28" s="67">
        <f>LN(G28)</f>
        <v>-8.959165519444543</v>
      </c>
    </row>
    <row r="29" spans="4:12" ht="12.75">
      <c r="D29" s="93">
        <f>Test_dat!$Q$63</f>
        <v>0.19572048061540162</v>
      </c>
      <c r="E29" s="93">
        <f>Test_dat!$R$63</f>
        <v>678.2367054925718</v>
      </c>
      <c r="F29" s="63">
        <f>E29/(100000*D29*mu_0)</f>
        <v>27590.233545647563</v>
      </c>
      <c r="G29" s="63">
        <f>pi2*f_spec*E29*E29/(1000000*F29*mu_0*TAN(H29*pi2/360)*m_Fe)</f>
        <v>0.000968436248922687</v>
      </c>
      <c r="H29" s="2">
        <v>89.9</v>
      </c>
      <c r="J29" s="63">
        <f>EXP(M26*LN(E29)+N26)</f>
        <v>0.0009833434283356315</v>
      </c>
      <c r="K29" s="67">
        <f>LN(E29)</f>
        <v>6.519496350156477</v>
      </c>
      <c r="L29" s="67">
        <f>LN(G29)</f>
        <v>-6.939827901834414</v>
      </c>
    </row>
    <row r="30" spans="1:14" ht="12.75">
      <c r="A30" s="105">
        <v>6</v>
      </c>
      <c r="B30" s="106" t="s">
        <v>120</v>
      </c>
      <c r="D30" s="93">
        <v>0.04</v>
      </c>
      <c r="E30" s="93">
        <v>22</v>
      </c>
      <c r="F30" s="63">
        <f>E30/(100000*D30*mu_0)</f>
        <v>4378.980891719745</v>
      </c>
      <c r="G30" s="93">
        <v>0.4</v>
      </c>
      <c r="H30" s="63">
        <f>(360/pi2)*ATAN(pi2*f*E30*E30/(J30*m_Fe*1000000*F30*mu_0))</f>
        <v>76.90626826693602</v>
      </c>
      <c r="I30" s="9" t="s">
        <v>121</v>
      </c>
      <c r="J30" s="63">
        <f>EXP(M30*LN(E30)+N30)</f>
        <v>0.42867764229982197</v>
      </c>
      <c r="K30" s="67">
        <f>LN(E30)</f>
        <v>3.091042453358316</v>
      </c>
      <c r="L30" s="67">
        <f>LN(G30)</f>
        <v>-0.916290731874155</v>
      </c>
      <c r="M30" s="67">
        <f>INDEX(LINEST(L30:L33,K30:K33),1)</f>
        <v>2.0372904316071927</v>
      </c>
      <c r="N30" s="67">
        <f>INDEX(LINEST(L30:L33,K30:K33),2)</f>
        <v>-7.14440127297809</v>
      </c>
    </row>
    <row r="31" spans="3:12" ht="12.75">
      <c r="C31">
        <v>4800</v>
      </c>
      <c r="D31" s="93">
        <v>0.2</v>
      </c>
      <c r="E31" s="93">
        <v>140</v>
      </c>
      <c r="F31" s="63">
        <f>E31/(100000*D31*mu_0)</f>
        <v>5573.248407643312</v>
      </c>
      <c r="G31" s="93">
        <v>23</v>
      </c>
      <c r="H31" s="63">
        <f>(360/pi2)*ATAN(pi2*f*E31*E31/(J31*m_Fe*1000000*F31*mu_0))</f>
        <v>72.40227772708319</v>
      </c>
      <c r="J31" s="63">
        <f>EXP(M30*LN(E31)+N30)</f>
        <v>18.599962247783417</v>
      </c>
      <c r="K31" s="67">
        <f>LN(E31)</f>
        <v>4.941642422609304</v>
      </c>
      <c r="L31" s="67">
        <f>LN(G31)</f>
        <v>3.1354942159291497</v>
      </c>
    </row>
    <row r="32" spans="3:12" ht="12.75">
      <c r="C32" s="67">
        <f>Test_dat!$F$8</f>
        <v>0.93</v>
      </c>
      <c r="D32" s="93">
        <v>0.4</v>
      </c>
      <c r="E32" s="93">
        <v>290</v>
      </c>
      <c r="F32" s="63">
        <f>E32/(100000*D32*mu_0)</f>
        <v>5772.292993630574</v>
      </c>
      <c r="G32" s="93">
        <v>80</v>
      </c>
      <c r="H32" s="63">
        <f>(360/pi2)*ATAN(pi2*f*E32*E32/(J32*m_Fe*1000000*F32*mu_0))</f>
        <v>71.34811838191524</v>
      </c>
      <c r="J32" s="63">
        <f>EXP(M30*LN(E32)+N30)</f>
        <v>82.00603808713521</v>
      </c>
      <c r="K32" s="67">
        <f>LN(E32)</f>
        <v>5.66988092298052</v>
      </c>
      <c r="L32" s="67">
        <f>LN(G32)</f>
        <v>4.382026634673881</v>
      </c>
    </row>
    <row r="33" spans="4:12" ht="12.75">
      <c r="D33" s="93">
        <v>0.6</v>
      </c>
      <c r="E33" s="93">
        <v>355</v>
      </c>
      <c r="F33" s="63">
        <f>E33/(100000*D33*mu_0)</f>
        <v>4710.721868365181</v>
      </c>
      <c r="G33" s="93">
        <v>110</v>
      </c>
      <c r="H33" s="63">
        <f>(360/pi2)*ATAN(pi2*f*E33*E33/(J33*m_Fe*1000000*F33*mu_0))</f>
        <v>74.48778688752279</v>
      </c>
      <c r="J33" s="63">
        <f>EXP(M30*LN(E33)+N30)</f>
        <v>123.81742639083488</v>
      </c>
      <c r="K33" s="67">
        <f>LN(E33)</f>
        <v>5.872117789475416</v>
      </c>
      <c r="L33" s="67">
        <f>LN(G33)</f>
        <v>4.700480365792417</v>
      </c>
    </row>
    <row r="34" spans="1:14" ht="12.75">
      <c r="A34" s="107">
        <v>7</v>
      </c>
      <c r="B34" s="107" t="s">
        <v>122</v>
      </c>
      <c r="D34" s="93">
        <f>Test_dat!$Q$48</f>
        <v>0.24008378955489265</v>
      </c>
      <c r="E34" s="92">
        <f>Test_dat!$R$48</f>
        <v>4.573024562950337</v>
      </c>
      <c r="F34" s="63">
        <f>E34/(100000*D34*mu_0)</f>
        <v>151.65301789505617</v>
      </c>
      <c r="G34" s="63">
        <f>pi2*f_spec*E34*E34/(1000000*F34*mu_0*TAN(H34*pi2/360)*m_Fe)</f>
        <v>0.00023485061853932486</v>
      </c>
      <c r="H34" s="93">
        <f>Test_dat!$P$48</f>
        <v>87.07644341355247</v>
      </c>
      <c r="J34" s="63">
        <f>EXP(M34*LN(E34)+N34)</f>
        <v>0.0002869372287014511</v>
      </c>
      <c r="K34" s="67">
        <f>LN(E34)</f>
        <v>1.520174815960495</v>
      </c>
      <c r="L34" s="67">
        <f>LN(G34)</f>
        <v>-8.35656091173138</v>
      </c>
      <c r="M34" s="67">
        <f>INDEX(LINEST(L34:L37,K34:K37),1)</f>
        <v>2.222134673493723</v>
      </c>
      <c r="N34" s="67">
        <f>INDEX(LINEST(L34:L37,K34:K37),2)</f>
        <v>-11.534280249770047</v>
      </c>
    </row>
    <row r="35" spans="3:12" ht="12.75">
      <c r="C35">
        <v>7500</v>
      </c>
      <c r="D35" s="93">
        <f>Test_dat!$Q$49</f>
        <v>0.720251368664678</v>
      </c>
      <c r="E35" s="92">
        <f>Test_dat!$R$49</f>
        <v>16.00558597032618</v>
      </c>
      <c r="F35" s="63">
        <f>E35/(100000*D35*mu_0)</f>
        <v>176.9285208775655</v>
      </c>
      <c r="G35" s="63">
        <f>pi2*f_spec*E35*E35/(1000000*F35*mu_0*TAN(H35*pi2/360)*m_Fe)</f>
        <v>0.0064425151321164525</v>
      </c>
      <c r="H35" s="93">
        <f>Test_dat!$P$49</f>
        <v>82.4004716069868</v>
      </c>
      <c r="J35" s="63">
        <f>EXP(M34*LN(E35)+N34)</f>
        <v>0.004642793476777712</v>
      </c>
      <c r="K35" s="67">
        <f>LN(E35)</f>
        <v>2.772937784455863</v>
      </c>
      <c r="L35" s="67">
        <f>LN(G35)</f>
        <v>-5.044836266644788</v>
      </c>
    </row>
    <row r="36" spans="3:12" ht="12.75">
      <c r="C36" s="67">
        <f>Test_dat!$F$8</f>
        <v>0.93</v>
      </c>
      <c r="D36" s="93">
        <f>Test_dat!$Q$50</f>
        <v>1.5125278741958237</v>
      </c>
      <c r="E36" s="92">
        <f>Test_dat!$R$50</f>
        <v>38.870708785077866</v>
      </c>
      <c r="F36" s="63">
        <f>E36/(100000*D36*mu_0)</f>
        <v>204.6112146203139</v>
      </c>
      <c r="G36" s="63">
        <f>pi2*f_spec*E36*E36/(1000000*F36*mu_0*TAN(H36*pi2/360)*m_Fe)</f>
        <v>0.035546336919803766</v>
      </c>
      <c r="H36" s="93">
        <f>Test_dat!$P$50</f>
        <v>81.78659804561867</v>
      </c>
      <c r="J36" s="63">
        <f>EXP(M34*LN(E36)+N34)</f>
        <v>0.0333488544686504</v>
      </c>
      <c r="K36" s="67">
        <f>LN(E36)</f>
        <v>3.660240979456766</v>
      </c>
      <c r="L36" s="67">
        <f>LN(G36)</f>
        <v>-3.3369181682724514</v>
      </c>
    </row>
    <row r="37" spans="4:12" ht="12.75">
      <c r="D37" s="93">
        <f>Test_dat!$Q$51</f>
        <v>2.1847624849495233</v>
      </c>
      <c r="E37" s="92">
        <f>Test_dat!$R$51</f>
        <v>80.0279298516309</v>
      </c>
      <c r="F37" s="63">
        <f>E37/(100000*D37*mu_0)</f>
        <v>291.6404190289541</v>
      </c>
      <c r="G37" s="63">
        <f>pi2*f_spec*E37*E37/(1000000*F37*mu_0*TAN(H37*pi2/360)*m_Fe)</f>
        <v>0.1370850279496046</v>
      </c>
      <c r="H37" s="93">
        <f>Test_dat!$P$51</f>
        <v>79.39798789014522</v>
      </c>
      <c r="J37" s="63">
        <f>EXP(M34*LN(E37)+N34)</f>
        <v>0.16595290072871333</v>
      </c>
      <c r="K37" s="67">
        <f>LN(E37)</f>
        <v>4.382375696889963</v>
      </c>
      <c r="L37" s="67">
        <f>LN(G37)</f>
        <v>-1.987153903704669</v>
      </c>
    </row>
    <row r="38" spans="1:14" ht="12.75">
      <c r="A38" s="94">
        <v>8</v>
      </c>
      <c r="B38" s="95" t="s">
        <v>123</v>
      </c>
      <c r="C38" s="2"/>
      <c r="D38" s="92">
        <f>Test_dat!$Q$44</f>
        <v>0.28134819088463986</v>
      </c>
      <c r="E38" s="92">
        <f>Test_dat!$R$44</f>
        <v>4.420528040085993</v>
      </c>
      <c r="F38" s="63">
        <f>E38/(100000*D38*mu_0)</f>
        <v>125.09512441752581</v>
      </c>
      <c r="G38" s="63">
        <f>pi2*f_spec*E38*E38/(1000000*F38*mu_0*TAN(H38*pi2/360)*m_Fe)</f>
        <v>0.00027170430697575</v>
      </c>
      <c r="H38" s="93">
        <f>Test_dat!$P$44</f>
        <v>87.01429051699131</v>
      </c>
      <c r="I38" s="2"/>
      <c r="J38" s="63">
        <f>EXP(M38*LN(E38)+N38)</f>
        <v>0.00019296282550032516</v>
      </c>
      <c r="K38" s="67">
        <f>LN(E38)</f>
        <v>1.4862591550369064</v>
      </c>
      <c r="L38" s="67">
        <f>LN(G38)</f>
        <v>-8.21079618970417</v>
      </c>
      <c r="M38" s="67">
        <f>INDEX(LINEST(L38:L41,K38:K41),1)</f>
        <v>2.462389179392616</v>
      </c>
      <c r="N38" s="67">
        <f>INDEX(LINEST(L38:L41,K38:K41),2)</f>
        <v>-12.212761462735887</v>
      </c>
    </row>
    <row r="39" spans="2:14" ht="12.75">
      <c r="B39" s="73"/>
      <c r="C39" s="2">
        <v>7500</v>
      </c>
      <c r="D39" s="92">
        <f>Test_dat!$Q$45</f>
        <v>0.8440445726539196</v>
      </c>
      <c r="E39" s="92">
        <f>Test_dat!$R$45</f>
        <v>9.209433416845819</v>
      </c>
      <c r="F39" s="63">
        <f>E39/(100000*D39*mu_0)</f>
        <v>86.87161417883735</v>
      </c>
      <c r="G39" s="63">
        <f>pi2*f_spec*E39*E39/(1000000*F39*mu_0*TAN(H39*pi2/360)*m_Fe)</f>
        <v>0.0006943672431785592</v>
      </c>
      <c r="H39" s="93">
        <f>Test_dat!$P$45</f>
        <v>88.77811056733425</v>
      </c>
      <c r="I39" s="2"/>
      <c r="J39" s="63">
        <f>EXP(M38*LN(E39)+N38)</f>
        <v>0.001175930832808328</v>
      </c>
      <c r="K39" s="67">
        <f>LN(E39)</f>
        <v>2.220228330117107</v>
      </c>
      <c r="L39" s="67">
        <f>LN(G39)</f>
        <v>-7.272509568572744</v>
      </c>
      <c r="M39" s="2"/>
      <c r="N39" s="2"/>
    </row>
    <row r="40" spans="2:14" ht="12.75">
      <c r="B40" s="73"/>
      <c r="C40" s="67">
        <f>Test_dat!$F$8</f>
        <v>0.93</v>
      </c>
      <c r="D40" s="92">
        <f>Test_dat!$Q$46</f>
        <v>2.250785527077119</v>
      </c>
      <c r="E40" s="92">
        <f>Test_dat!$R$46</f>
        <v>36.837733667383276</v>
      </c>
      <c r="F40" s="63">
        <f>E40/(100000*D40*mu_0)</f>
        <v>130.30742126825606</v>
      </c>
      <c r="G40" s="63">
        <f>pi2*f_spec*E40*E40/(1000000*F40*mu_0*TAN(H40*pi2/360)*m_Fe)</f>
        <v>0.043234069796782355</v>
      </c>
      <c r="H40" s="93">
        <f>Test_dat!$P$46</f>
        <v>82.90396704084321</v>
      </c>
      <c r="I40" s="2"/>
      <c r="J40" s="63">
        <f>EXP(M38*LN(E40)+N38)</f>
        <v>0.035718053683582156</v>
      </c>
      <c r="K40" s="67">
        <f>LN(E40)</f>
        <v>3.6065226912369974</v>
      </c>
      <c r="L40" s="67">
        <f>LN(G40)</f>
        <v>-3.14112644185191</v>
      </c>
      <c r="M40" s="2"/>
      <c r="N40" s="2"/>
    </row>
    <row r="41" spans="2:14" ht="12.75">
      <c r="B41" s="73"/>
      <c r="C41" s="2"/>
      <c r="D41" s="92">
        <f>Test_dat!$Q$47</f>
        <v>4.445301415977309</v>
      </c>
      <c r="E41" s="92">
        <f>Test_dat!$R$47</f>
        <v>77.35924070150489</v>
      </c>
      <c r="F41" s="63">
        <f>E41/(100000*D41*mu_0)</f>
        <v>138.55472641181657</v>
      </c>
      <c r="G41" s="63">
        <f>pi2*f_spec*E41*E41/(1000000*F41*mu_0*TAN(H41*pi2/360)*m_Fe)</f>
        <v>0.22057101243209118</v>
      </c>
      <c r="H41" s="93">
        <f>Test_dat!$P$47</f>
        <v>81.29402958349175</v>
      </c>
      <c r="I41" s="2"/>
      <c r="J41" s="63">
        <f>EXP(M38*LN(E41)+N38)</f>
        <v>0.2219816577766361</v>
      </c>
      <c r="K41" s="67">
        <f>LN(E41)</f>
        <v>4.348460035966375</v>
      </c>
      <c r="L41" s="67">
        <f>LN(G41)</f>
        <v>-1.5115355840965823</v>
      </c>
      <c r="M41" s="2"/>
      <c r="N41" s="2"/>
    </row>
    <row r="42" spans="1:18" ht="12.75">
      <c r="A42" s="101">
        <v>9</v>
      </c>
      <c r="B42" s="76" t="s">
        <v>124</v>
      </c>
      <c r="D42">
        <v>0.002</v>
      </c>
      <c r="E42">
        <v>1</v>
      </c>
      <c r="F42" s="63">
        <f>E42/(100000*D42*mu_0)</f>
        <v>3980.8917197452233</v>
      </c>
      <c r="G42" s="63">
        <f>pi2*f_spec*E42*E42/(1000000*F42*mu_0*TAN(H42*pi2/360)*m_Fe)</f>
        <v>3.6574394043585953E-07</v>
      </c>
      <c r="H42">
        <v>87.5</v>
      </c>
      <c r="J42" s="63">
        <f>EXP(M42*LN(E42)+N42)</f>
        <v>3.2025010173259686E-07</v>
      </c>
      <c r="K42" s="2">
        <f>LN(E42)</f>
        <v>0</v>
      </c>
      <c r="L42" s="67">
        <f>LN(G42)</f>
        <v>-14.821332364686196</v>
      </c>
      <c r="M42" s="67">
        <f>INDEX(LINEST(L42:L45,K42:K45),1)</f>
        <v>2.563368609669019</v>
      </c>
      <c r="N42" s="67">
        <f>INDEX(LINEST(L42:L45,K42:K45),2)</f>
        <v>-14.95416357850343</v>
      </c>
      <c r="P42" s="23">
        <v>38</v>
      </c>
      <c r="Q42" s="23">
        <v>63</v>
      </c>
      <c r="R42" s="23">
        <v>25</v>
      </c>
    </row>
    <row r="43" spans="3:12" ht="12.75">
      <c r="C43">
        <v>4850</v>
      </c>
      <c r="D43">
        <v>0.44</v>
      </c>
      <c r="E43">
        <v>200</v>
      </c>
      <c r="F43" s="63">
        <f>E43/(100000*D43*mu_0)</f>
        <v>3618.9924724956577</v>
      </c>
      <c r="G43" s="63">
        <f>pi2*f_spec*E43*E43/(1000000*F43*mu_0*TAN(H43*pi2/360)*m_Fe)</f>
        <v>0.09876872145876184</v>
      </c>
      <c r="H43" s="2">
        <v>75</v>
      </c>
      <c r="J43" s="63">
        <f>EXP(M42*LN(E43)+N42)</f>
        <v>0.2534412705805527</v>
      </c>
      <c r="K43" s="2">
        <f>LN(E43)</f>
        <v>5.298317366548036</v>
      </c>
      <c r="L43" s="67">
        <f>LN(G43)</f>
        <v>-2.3149743087772308</v>
      </c>
    </row>
    <row r="44" spans="3:12" ht="12.75">
      <c r="C44">
        <v>0.93</v>
      </c>
      <c r="D44">
        <v>1</v>
      </c>
      <c r="E44">
        <v>300</v>
      </c>
      <c r="F44" s="63">
        <f>E44/(100000*D44*mu_0)</f>
        <v>2388.535031847134</v>
      </c>
      <c r="G44" s="63">
        <f>pi2*f_spec*E44*E44/(1000000*F44*mu_0*TAN(H44*pi2/360)*m_Fe)</f>
        <v>0.5859767969560967</v>
      </c>
      <c r="H44" s="2">
        <v>65</v>
      </c>
      <c r="J44" s="63">
        <f>EXP(M42*LN(E44)+N42)</f>
        <v>0.7165791096386525</v>
      </c>
      <c r="K44" s="2">
        <f>LN(E44)</f>
        <v>5.703782474656201</v>
      </c>
      <c r="L44" s="67">
        <f>LN(G44)</f>
        <v>-0.5344750858271126</v>
      </c>
    </row>
    <row r="45" spans="4:12" ht="12.75">
      <c r="D45">
        <v>4</v>
      </c>
      <c r="E45">
        <v>435</v>
      </c>
      <c r="F45" s="63">
        <f>E45/(100000*D45*mu_0)</f>
        <v>865.8439490445861</v>
      </c>
      <c r="G45" s="63">
        <f>pi2*f_spec*E45*E45/(1000000*F45*mu_0*TAN(H45*pi2/360)*m_Fe)</f>
        <v>5.103446662440896</v>
      </c>
      <c r="H45" s="2">
        <v>55</v>
      </c>
      <c r="J45" s="63">
        <f>EXP(M42*LN(E45)+N42)</f>
        <v>1.8574187043105341</v>
      </c>
      <c r="K45" s="2">
        <f>LN(E45)</f>
        <v>6.075346031088684</v>
      </c>
      <c r="L45" s="67">
        <f>LN(G45)</f>
        <v>1.629916127634253</v>
      </c>
    </row>
    <row r="46" spans="1:18" ht="12.75">
      <c r="A46" s="91">
        <v>10</v>
      </c>
      <c r="B46" s="76" t="s">
        <v>125</v>
      </c>
      <c r="C46" s="108"/>
      <c r="D46" s="63">
        <v>0.008819228039220625</v>
      </c>
      <c r="E46" s="109">
        <v>3.930703195005648</v>
      </c>
      <c r="F46" s="63">
        <f>E46/(100000*D46*mu_0)</f>
        <v>3548.5427368894525</v>
      </c>
      <c r="G46" s="63">
        <f>pi2*f_spec*E46*E46/(1000000*F46*mu_0*TAN(H46*pi2/360)*m_Fe)</f>
        <v>1.4620704749463105E-06</v>
      </c>
      <c r="H46" s="110">
        <v>89.42291044901386</v>
      </c>
      <c r="I46" s="34"/>
      <c r="J46" s="63">
        <f>EXP(M46*LN(E46)+N46)</f>
        <v>1.0953109736583447E-06</v>
      </c>
      <c r="K46" s="67">
        <f>LN(E46)</f>
        <v>1.3688183399019842</v>
      </c>
      <c r="L46" s="67">
        <f>LN(G46)</f>
        <v>-13.435656993320846</v>
      </c>
      <c r="M46" s="67">
        <f>INDEX(LINEST(L46:L49,K46:K49),1)</f>
        <v>2.581576547328357</v>
      </c>
      <c r="N46" s="67">
        <f>INDEX(LINEST(L46:L49,K46:K49),2)</f>
        <v>-17.258181564649895</v>
      </c>
      <c r="O46" s="111"/>
      <c r="P46" s="22">
        <v>95</v>
      </c>
      <c r="Q46" s="22">
        <v>123</v>
      </c>
      <c r="R46" s="22">
        <v>29.5</v>
      </c>
    </row>
    <row r="47" spans="2:18" ht="12.75">
      <c r="B47" s="76" t="s">
        <v>126</v>
      </c>
      <c r="C47">
        <v>4800</v>
      </c>
      <c r="D47" s="63">
        <v>0.06366197723675815</v>
      </c>
      <c r="E47" s="109">
        <v>31.59977078337874</v>
      </c>
      <c r="F47" s="63">
        <f>E47/(100000*D47*mu_0)</f>
        <v>3951.9748307398095</v>
      </c>
      <c r="G47" s="63">
        <f>pi2*f_spec*E47*E47/(1000000*F47*mu_0*TAN(H47*pi2/360)*m_Fe)</f>
        <v>0.0002015908006005861</v>
      </c>
      <c r="H47" s="110">
        <v>88.62936282707234</v>
      </c>
      <c r="I47" s="108"/>
      <c r="J47" s="63">
        <f>EXP(M46*LN(E47)+N46)</f>
        <v>0.00023791172560502468</v>
      </c>
      <c r="K47" s="67">
        <f>LN(E47)</f>
        <v>3.453149866876012</v>
      </c>
      <c r="L47" s="67">
        <f>LN(G47)</f>
        <v>-8.509270654749766</v>
      </c>
      <c r="O47" s="108"/>
      <c r="P47" s="108"/>
      <c r="Q47" s="108"/>
      <c r="R47" s="108"/>
    </row>
    <row r="48" spans="2:18" ht="12.75">
      <c r="B48" s="76" t="s">
        <v>120</v>
      </c>
      <c r="C48" s="112">
        <v>1</v>
      </c>
      <c r="D48" s="63">
        <v>0.1950743155695158</v>
      </c>
      <c r="E48" s="109">
        <v>118.69182196683721</v>
      </c>
      <c r="F48" s="63">
        <f>E48/(100000*D48*mu_0)</f>
        <v>4844.30038767332</v>
      </c>
      <c r="G48" s="63">
        <f>pi2*f_spec*E48*E48/(1000000*F48*mu_0*TAN(H48*pi2/360)*m_Fe)</f>
        <v>0.0023005967508589746</v>
      </c>
      <c r="H48" s="110">
        <v>88.6409437625135</v>
      </c>
      <c r="I48" s="2"/>
      <c r="J48" s="63">
        <f>EXP(M46*LN(E48)+N46)</f>
        <v>0.007246746280596078</v>
      </c>
      <c r="K48" s="67">
        <f>LN(E48)</f>
        <v>4.776530402585333</v>
      </c>
      <c r="L48" s="67">
        <f>LN(G48)</f>
        <v>-6.074586732804946</v>
      </c>
      <c r="O48" s="2"/>
      <c r="P48" s="2"/>
      <c r="Q48" s="113"/>
      <c r="R48" s="2"/>
    </row>
    <row r="49" spans="3:18" ht="12.75">
      <c r="C49" s="2"/>
      <c r="D49" s="63">
        <v>0.3708748215168938</v>
      </c>
      <c r="E49" s="109">
        <v>250.4859879170266</v>
      </c>
      <c r="F49" s="63">
        <f>E49/(100000*D49*mu_0)</f>
        <v>5377.326997463328</v>
      </c>
      <c r="G49" s="63">
        <f>pi2*f_spec*E49*E49/(1000000*F49*mu_0*TAN(H49*pi2/360)*m_Fe)</f>
        <v>0.1387799939425517</v>
      </c>
      <c r="H49" s="110">
        <v>70.371718031118</v>
      </c>
      <c r="I49" s="2"/>
      <c r="J49" s="63">
        <f>EXP(M46*LN(E49)+N46)</f>
        <v>0.049832197706341626</v>
      </c>
      <c r="K49" s="67">
        <f>LN(E49)</f>
        <v>5.523402982501442</v>
      </c>
      <c r="L49" s="67">
        <f>LN(G49)</f>
        <v>-1.974865377158583</v>
      </c>
      <c r="O49" s="2"/>
      <c r="P49" s="2"/>
      <c r="Q49" s="113"/>
      <c r="R49" s="2"/>
    </row>
    <row r="50" spans="1:20" s="2" customFormat="1" ht="12.75">
      <c r="A50" s="114">
        <v>11</v>
      </c>
      <c r="B50" s="76" t="s">
        <v>127</v>
      </c>
      <c r="D50" s="63">
        <v>0.003113541030309712</v>
      </c>
      <c r="E50" s="109">
        <v>0.1466050909484484</v>
      </c>
      <c r="F50" s="63">
        <v>374.89083133818184</v>
      </c>
      <c r="G50" s="63">
        <v>5.280401366403959E-08</v>
      </c>
      <c r="H50" s="113">
        <v>88.41786811727067</v>
      </c>
      <c r="I50" s="34"/>
      <c r="J50" s="63">
        <f>EXP(M50*LN(E50)+N50)</f>
        <v>4.87667527754242E-08</v>
      </c>
      <c r="K50" s="2">
        <f>LN(E50)</f>
        <v>-1.9200127633354913</v>
      </c>
      <c r="L50" s="67">
        <f>LN(G50)</f>
        <v>-16.756678632758906</v>
      </c>
      <c r="M50" s="67">
        <f>INDEX(LINEST(L50:L53,K50:K53),1)</f>
        <v>2.2518451191954973</v>
      </c>
      <c r="N50" s="67">
        <f>INDEX(LINEST(L50:L53,K50:K53),2)</f>
        <v>-12.512645681950097</v>
      </c>
      <c r="O50"/>
      <c r="P50" s="22">
        <v>20.5</v>
      </c>
      <c r="Q50" s="22">
        <v>34</v>
      </c>
      <c r="R50" s="22">
        <v>12.5</v>
      </c>
      <c r="T50" s="108"/>
    </row>
    <row r="51" spans="2:20" s="2" customFormat="1" ht="12.75">
      <c r="B51" s="76" t="s">
        <v>128</v>
      </c>
      <c r="C51">
        <v>4800</v>
      </c>
      <c r="D51" s="63">
        <v>0.020006157258585802</v>
      </c>
      <c r="E51" s="109">
        <v>0.924125476017457</v>
      </c>
      <c r="F51" s="63">
        <v>367.77112245328397</v>
      </c>
      <c r="G51" s="63">
        <v>2.502059092433717E-06</v>
      </c>
      <c r="H51" s="113">
        <v>88.14931168384582</v>
      </c>
      <c r="I51" s="113"/>
      <c r="J51" s="63">
        <f>EXP(M50*LN(E51)+N50)</f>
        <v>3.0807639052218045E-06</v>
      </c>
      <c r="K51" s="2">
        <f>LN(E51)</f>
        <v>-0.07890742000428115</v>
      </c>
      <c r="L51" s="67">
        <f>LN(G51)</f>
        <v>-12.898396528119434</v>
      </c>
      <c r="M51"/>
      <c r="N51"/>
      <c r="O51"/>
      <c r="P51"/>
      <c r="Q51"/>
      <c r="S51"/>
      <c r="T51"/>
    </row>
    <row r="52" spans="2:20" s="2" customFormat="1" ht="12.75">
      <c r="B52" s="76"/>
      <c r="C52" s="112">
        <v>1</v>
      </c>
      <c r="D52" s="63">
        <v>0.06558309829801305</v>
      </c>
      <c r="E52" s="109">
        <v>3.0091122753037562</v>
      </c>
      <c r="F52" s="63">
        <v>365.30601485484726</v>
      </c>
      <c r="G52" s="63">
        <v>5.0338360184241677E-05</v>
      </c>
      <c r="H52" s="113">
        <v>86.51509445135925</v>
      </c>
      <c r="I52" s="113"/>
      <c r="J52" s="63">
        <f>EXP(M50*LN(E52)+N50)</f>
        <v>4.397402155329882E-05</v>
      </c>
      <c r="K52" s="2">
        <f>LN(E52)</f>
        <v>1.1016451101135563</v>
      </c>
      <c r="L52" s="67">
        <f>LN(G52)</f>
        <v>-9.896743143594158</v>
      </c>
      <c r="M52"/>
      <c r="N52"/>
      <c r="O52"/>
      <c r="P52"/>
      <c r="Q52"/>
      <c r="S52"/>
      <c r="T52" s="108"/>
    </row>
    <row r="53" spans="2:20" s="2" customFormat="1" ht="12.75">
      <c r="B53" s="73" t="s">
        <v>129</v>
      </c>
      <c r="D53" s="63">
        <v>0.14839004059348412</v>
      </c>
      <c r="E53" s="109">
        <v>6.674239549014966</v>
      </c>
      <c r="F53" s="63">
        <v>358.1025363967243</v>
      </c>
      <c r="G53" s="63">
        <v>0.000262643739419618</v>
      </c>
      <c r="H53" s="113">
        <v>86.37724886759044</v>
      </c>
      <c r="I53" s="113"/>
      <c r="J53" s="63">
        <f>EXP(M50*LN(E53)+N50)</f>
        <v>0.00026439435208687576</v>
      </c>
      <c r="K53" s="2">
        <f>LN(E53)</f>
        <v>1.8982552725551365</v>
      </c>
      <c r="L53" s="67">
        <f>LN(G53)</f>
        <v>-8.244712047057726</v>
      </c>
      <c r="M53"/>
      <c r="N53"/>
      <c r="O53"/>
      <c r="P53"/>
      <c r="Q53"/>
      <c r="S53"/>
      <c r="T53" s="108"/>
    </row>
    <row r="54" spans="1:18" ht="12.75">
      <c r="A54" s="115">
        <v>12</v>
      </c>
      <c r="B54" s="76" t="s">
        <v>127</v>
      </c>
      <c r="C54" s="2"/>
      <c r="D54" s="63">
        <v>0.0018995868141978196</v>
      </c>
      <c r="E54" s="109">
        <v>0.8841941282883075</v>
      </c>
      <c r="F54" s="63">
        <f>E54/(100000*D54*mu_0)</f>
        <v>3705.9439006863045</v>
      </c>
      <c r="G54" s="63">
        <f>pi2*f_spec*E54*E54/(1000000*F54*mu_0*TAN(H54*pi2/360)*m_Fe)</f>
        <v>2.8162110910355624E-07</v>
      </c>
      <c r="H54" s="113">
        <v>87.70755722404344</v>
      </c>
      <c r="I54" s="2"/>
      <c r="J54" s="63">
        <f>EXP(M54*LN(E54)+N54)</f>
        <v>1.4961351030109025E-07</v>
      </c>
      <c r="K54" s="2">
        <f>LN(E54)</f>
        <v>-0.12307863831741876</v>
      </c>
      <c r="L54" s="67">
        <f>LN(G54)</f>
        <v>-15.08270325416674</v>
      </c>
      <c r="M54" s="67">
        <f>INDEX(LINEST(L54:L57,K54:K57),1)</f>
        <v>2.117589684125639</v>
      </c>
      <c r="N54" s="67">
        <f>INDEX(LINEST(L54:L57,K54:K57),2)</f>
        <v>-15.454580411147228</v>
      </c>
      <c r="O54" s="111"/>
      <c r="P54" s="22">
        <v>95</v>
      </c>
      <c r="Q54" s="22">
        <v>123</v>
      </c>
      <c r="R54" s="22">
        <v>29.5</v>
      </c>
    </row>
    <row r="55" spans="2:18" ht="12.75">
      <c r="B55" s="76" t="s">
        <v>130</v>
      </c>
      <c r="C55">
        <v>4800</v>
      </c>
      <c r="D55" s="63">
        <v>0.017455662616952937</v>
      </c>
      <c r="E55" s="109">
        <v>8.48826363156775</v>
      </c>
      <c r="F55" s="63">
        <f>E55/(100000*D55*mu_0)</f>
        <v>3871.6213927169856</v>
      </c>
      <c r="G55" s="63">
        <f>pi2*f_spec*E55*E55/(1000000*F55*mu_0*TAN(H55*pi2/360)*m_Fe)</f>
        <v>3.990946900844527E-06</v>
      </c>
      <c r="H55" s="113">
        <v>89.63136652239069</v>
      </c>
      <c r="J55" s="63">
        <f>EXP(M54*LN(E55)+N54)</f>
        <v>1.798946479253651E-05</v>
      </c>
      <c r="K55" s="2">
        <f>LN(E55)</f>
        <v>2.1386844601563717</v>
      </c>
      <c r="L55" s="67">
        <f>LN(G55)</f>
        <v>-12.431482036710685</v>
      </c>
      <c r="O55" s="108"/>
      <c r="P55" s="108"/>
      <c r="Q55" s="108"/>
      <c r="R55" s="108"/>
    </row>
    <row r="56" spans="3:18" ht="12.75">
      <c r="C56" s="112">
        <v>1</v>
      </c>
      <c r="D56" s="63">
        <v>0.05750100626760968</v>
      </c>
      <c r="E56" s="109">
        <v>30.23943918746012</v>
      </c>
      <c r="F56" s="63">
        <f>E56/(100000*D56*mu_0)</f>
        <v>4187.054832078973</v>
      </c>
      <c r="G56" s="63">
        <f>pi2*f_spec*E56*E56/(1000000*F56*mu_0*TAN(H56*pi2/360)*m_Fe)</f>
        <v>0.0003609395279405238</v>
      </c>
      <c r="H56" s="113">
        <v>87.16277131340956</v>
      </c>
      <c r="I56" s="2"/>
      <c r="J56" s="63">
        <f>EXP(M54*LN(E56)+N54)</f>
        <v>0.00026509935436789324</v>
      </c>
      <c r="K56" s="2">
        <f>LN(E56)</f>
        <v>3.409147005751141</v>
      </c>
      <c r="L56" s="67">
        <f>LN(G56)</f>
        <v>-7.926800126293329</v>
      </c>
      <c r="O56" s="2"/>
      <c r="P56" s="2"/>
      <c r="Q56" s="113"/>
      <c r="R56" s="2"/>
    </row>
    <row r="57" spans="3:18" ht="12.75">
      <c r="C57" s="112"/>
      <c r="D57" s="63">
        <v>0.09549274255156608</v>
      </c>
      <c r="E57" s="109">
        <v>53.405325348613765</v>
      </c>
      <c r="F57" s="63">
        <f>E57/(100000*D57*mu_0)</f>
        <v>4452.711521104166</v>
      </c>
      <c r="G57" s="63">
        <f>pi2*f_spec*E57*E57/(1000000*F57*mu_0*TAN(H57*pi2/360)*m_Fe)</f>
        <v>0.0015548854023804816</v>
      </c>
      <c r="H57" s="113">
        <v>85.83675278608726</v>
      </c>
      <c r="I57" s="34"/>
      <c r="J57" s="63">
        <f>EXP(M54*LN(E57)+N54)</f>
        <v>0.0008840488447153398</v>
      </c>
      <c r="K57" s="2">
        <f>LN(E57)</f>
        <v>3.9779104666233502</v>
      </c>
      <c r="L57" s="67">
        <f>LN(G57)</f>
        <v>-6.466353432284979</v>
      </c>
      <c r="O57" s="2"/>
      <c r="P57" s="2"/>
      <c r="Q57" s="113"/>
      <c r="R57" s="2"/>
    </row>
    <row r="58" spans="1:14" s="87" customFormat="1" ht="12.75">
      <c r="A58" s="85" t="s">
        <v>101</v>
      </c>
      <c r="B58" s="86" t="s">
        <v>102</v>
      </c>
      <c r="C58" s="87" t="s">
        <v>131</v>
      </c>
      <c r="D58" s="87" t="s">
        <v>35</v>
      </c>
      <c r="E58" s="87" t="s">
        <v>22</v>
      </c>
      <c r="F58" s="85" t="s">
        <v>104</v>
      </c>
      <c r="G58" s="87" t="s">
        <v>105</v>
      </c>
      <c r="H58" s="87" t="s">
        <v>33</v>
      </c>
      <c r="I58" s="87" t="s">
        <v>106</v>
      </c>
      <c r="J58" s="87" t="s">
        <v>107</v>
      </c>
      <c r="K58" s="87" t="s">
        <v>17</v>
      </c>
      <c r="L58" s="87" t="s">
        <v>108</v>
      </c>
      <c r="M58" s="87" t="s">
        <v>109</v>
      </c>
      <c r="N58" s="87" t="s">
        <v>110</v>
      </c>
    </row>
    <row r="59" spans="2:8" s="88" customFormat="1" ht="12.75">
      <c r="B59" s="89"/>
      <c r="C59" s="88" t="s">
        <v>132</v>
      </c>
      <c r="D59" s="88" t="s">
        <v>45</v>
      </c>
      <c r="E59" s="88" t="s">
        <v>39</v>
      </c>
      <c r="H59" s="88" t="s">
        <v>42</v>
      </c>
    </row>
    <row r="60" spans="2:15" ht="12.75">
      <c r="B60" s="73" t="s">
        <v>133</v>
      </c>
      <c r="D60" s="92">
        <f>Test_dat!$Q$35</f>
        <v>0.0002682815500730848</v>
      </c>
      <c r="E60" s="92">
        <f>Test_dat!$R$35</f>
        <v>1.7152926141097355</v>
      </c>
      <c r="F60" s="63">
        <f>E60/(100000*D60*mu_0)</f>
        <v>50904.68697970029</v>
      </c>
      <c r="G60" s="63">
        <f>pi2*f_spec*E60*E60/(1000000*F60*mu_0*TAN(H60*pi2/360)*m_Fe)</f>
        <v>1.3059554463272583E-07</v>
      </c>
      <c r="H60" s="93">
        <f>Test_dat!$P$35</f>
        <v>86.12392879217225</v>
      </c>
      <c r="I60" s="67">
        <f>Test_dat!$U35</f>
        <v>0</v>
      </c>
      <c r="J60" s="63">
        <f>EXP(M60*LN(E60)+N60)</f>
        <v>1.4306120871334997E-07</v>
      </c>
      <c r="K60" s="67">
        <f>LN(E60)</f>
        <v>0.539583686536035</v>
      </c>
      <c r="L60" s="67">
        <f>LN(G60)</f>
        <v>-15.851160735289934</v>
      </c>
      <c r="M60" s="67">
        <f>INDEX(LINEST(L60:L63,K60:K63),1)</f>
        <v>2.274434351722461</v>
      </c>
      <c r="N60" s="67">
        <f>INDEX(LINEST(L60:L63,K60:K63),2)</f>
        <v>-16.987240937592592</v>
      </c>
      <c r="O60" s="2"/>
    </row>
    <row r="61" spans="2:12" ht="12.75">
      <c r="B61" s="73" t="s">
        <v>134</v>
      </c>
      <c r="C61">
        <v>7500</v>
      </c>
      <c r="D61" s="92">
        <f>Test_dat!$Q$36</f>
        <v>0.001244729714303051</v>
      </c>
      <c r="E61" s="92">
        <f>Test_dat!$R$36</f>
        <v>8.576463070548677</v>
      </c>
      <c r="F61" s="63">
        <f>E61/(100000*D61*mu_0)</f>
        <v>54858.44907521098</v>
      </c>
      <c r="G61" s="63">
        <f>pi2*f_spec*E61*E61/(1000000*F61*mu_0*TAN(H61*pi2/360)*m_Fe)</f>
        <v>6.28224240031503E-06</v>
      </c>
      <c r="H61" s="93">
        <f>Test_dat!$P$36</f>
        <v>82.00273038188257</v>
      </c>
      <c r="I61" s="67">
        <f>Test_dat!$U36</f>
        <v>0</v>
      </c>
      <c r="J61" s="63">
        <f>EXP(M60*LN(E61)+N60)</f>
        <v>5.5626697710392674E-06</v>
      </c>
      <c r="K61" s="67">
        <f>LN(E61)</f>
        <v>2.149021598970135</v>
      </c>
      <c r="L61" s="67">
        <f>LN(G61)</f>
        <v>-11.97778357110467</v>
      </c>
    </row>
    <row r="62" spans="2:12" ht="12.75">
      <c r="B62" s="73"/>
      <c r="C62" s="67">
        <f>Test_dat!$F$8</f>
        <v>0.93</v>
      </c>
      <c r="D62" s="92">
        <f>Test_dat!$Q$37</f>
        <v>0.0037946129154481354</v>
      </c>
      <c r="E62" s="92">
        <f>Test_dat!$R$37</f>
        <v>42.88231535274338</v>
      </c>
      <c r="F62" s="63">
        <f>E62/(100000*D62*mu_0)</f>
        <v>89974.84482080783</v>
      </c>
      <c r="G62" s="63">
        <f>pi2*f_spec*E62*E62/(1000000*F62*mu_0*TAN(H62*pi2/360)*m_Fe)</f>
        <v>0.00022511516098116835</v>
      </c>
      <c r="H62" s="93">
        <f>Test_dat!$P$37</f>
        <v>71.72298156464906</v>
      </c>
      <c r="I62" s="67">
        <f>Test_dat!$U37</f>
        <v>0</v>
      </c>
      <c r="J62" s="63">
        <f>EXP(M60*LN(E62)+N60)</f>
        <v>0.0002162940971904891</v>
      </c>
      <c r="K62" s="67">
        <f>LN(E62)</f>
        <v>3.7584595114042356</v>
      </c>
      <c r="L62" s="67">
        <f>LN(G62)</f>
        <v>-8.398898460115433</v>
      </c>
    </row>
    <row r="63" spans="2:12" ht="12.75">
      <c r="B63" s="73"/>
      <c r="D63" s="92">
        <f>Test_dat!$Q$38</f>
        <v>0.008725192754629154</v>
      </c>
      <c r="E63" s="92">
        <f>Test_dat!$R$38</f>
        <v>171.52926141097353</v>
      </c>
      <c r="F63" s="63">
        <f>E63/(100000*D63*mu_0)</f>
        <v>156521.33669658535</v>
      </c>
      <c r="G63" s="63">
        <f>pi2*f_spec*E63*E63/(1000000*F63*mu_0*TAN(H63*pi2/360)*m_Fe)</f>
        <v>0.004718376958894431</v>
      </c>
      <c r="H63" s="93">
        <f>Test_dat!$P$38</f>
        <v>53.03313767426088</v>
      </c>
      <c r="I63" t="str">
        <f>Test_dat!$U38</f>
        <v>THD [%]:0.77</v>
      </c>
      <c r="J63" s="63">
        <f>EXP(M60*LN(E63)+N60)</f>
        <v>0.005062797925667069</v>
      </c>
      <c r="K63" s="67">
        <f>LN(E63)</f>
        <v>5.144753872524126</v>
      </c>
      <c r="L63" s="67">
        <f>LN(G63)</f>
        <v>-5.356290403160686</v>
      </c>
    </row>
    <row r="64" spans="2:14" ht="12.75">
      <c r="B64" s="73" t="s">
        <v>135</v>
      </c>
      <c r="D64" s="92">
        <f>Test_dat!$Q$40</f>
        <v>0.000652576743421017</v>
      </c>
      <c r="E64" s="92">
        <f>Test_dat!$R$40</f>
        <v>3.716467330571094</v>
      </c>
      <c r="F64" s="63">
        <f>E64/(100000*D64*mu_0)</f>
        <v>45342.87858747378</v>
      </c>
      <c r="G64" s="63">
        <f>pi2*f_spec*E64*E64/(1000000*F64*mu_0*TAN(H64*pi2/360)*m_Fe)</f>
        <v>5.865275998867856E-06</v>
      </c>
      <c r="H64" s="93">
        <f>Test_dat!$P$40</f>
        <v>60</v>
      </c>
      <c r="I64" s="67">
        <f>Test_dat!$U40</f>
        <v>0</v>
      </c>
      <c r="J64" s="63">
        <f>EXP(M64*LN(E64)+N64)</f>
        <v>5.913760322227915E-06</v>
      </c>
      <c r="K64" s="67">
        <f>LN(E64)</f>
        <v>1.3127735747695166</v>
      </c>
      <c r="L64" s="67">
        <f>LN(G64)</f>
        <v>-12.046461018335563</v>
      </c>
      <c r="M64" s="67">
        <f>INDEX(LINEST(L64:L67,K64:K67),1)</f>
        <v>1.8307877895066247</v>
      </c>
      <c r="N64" s="67">
        <f>INDEX(LINEST(L64:L67,K64:K67),2)</f>
        <v>-14.44163849561523</v>
      </c>
    </row>
    <row r="65" spans="2:12" ht="12.75">
      <c r="B65" s="73" t="s">
        <v>134</v>
      </c>
      <c r="C65">
        <v>7500</v>
      </c>
      <c r="D65" s="92">
        <f>Test_dat!$Q$41</f>
        <v>0.0014078739001583053</v>
      </c>
      <c r="E65" s="92">
        <f>Test_dat!$R$41</f>
        <v>9.291168326427735</v>
      </c>
      <c r="F65" s="63">
        <f>E65/(100000*D65*mu_0)</f>
        <v>52543.249865312966</v>
      </c>
      <c r="G65" s="63">
        <f>pi2*f_spec*E65*E65/(1000000*F65*mu_0*TAN(H65*pi2/360)*m_Fe)</f>
        <v>3.163447471611598E-05</v>
      </c>
      <c r="H65" s="93">
        <f>Test_dat!$P$41</f>
        <v>60</v>
      </c>
      <c r="I65" s="67">
        <f>Test_dat!$U41</f>
        <v>0</v>
      </c>
      <c r="J65" s="63">
        <f>EXP(M64*LN(E65)+N64)</f>
        <v>3.165245703381966E-05</v>
      </c>
      <c r="K65" s="67">
        <f>LN(E65)</f>
        <v>2.229064306643672</v>
      </c>
      <c r="L65" s="67">
        <f>LN(G65)</f>
        <v>-10.361263060019926</v>
      </c>
    </row>
    <row r="66" spans="2:12" ht="12.75">
      <c r="B66" s="73"/>
      <c r="C66" s="67">
        <f>Test_dat!$F$40</f>
        <v>0.93</v>
      </c>
      <c r="D66" s="92">
        <f>Test_dat!$Q$42</f>
        <v>0.003111824285757627</v>
      </c>
      <c r="E66" s="92">
        <f>Test_dat!$R$42</f>
        <v>23.227920816069336</v>
      </c>
      <c r="F66" s="63">
        <f>E66/(100000*D66*mu_0)</f>
        <v>59429.98649814524</v>
      </c>
      <c r="G66" s="63">
        <f>pi2*f_spec*E66*E66/(1000000*F66*mu_0*TAN(H66*pi2/360)*m_Fe)</f>
        <v>0.00017480423260514733</v>
      </c>
      <c r="H66" s="93">
        <f>Test_dat!$P$42</f>
        <v>60</v>
      </c>
      <c r="I66" s="67">
        <f>Test_dat!$U42</f>
        <v>0</v>
      </c>
      <c r="J66" s="63">
        <f>EXP(M64*LN(E66)+N64)</f>
        <v>0.00016941471782548636</v>
      </c>
      <c r="K66" s="67">
        <f>LN(E66)</f>
        <v>3.1453550385178266</v>
      </c>
      <c r="L66" s="67">
        <f>LN(G66)</f>
        <v>-8.651843881047736</v>
      </c>
    </row>
    <row r="67" spans="2:12" ht="12.75">
      <c r="B67" s="73"/>
      <c r="D67" s="92">
        <f>Test_dat!$Q$43</f>
        <v>0.005244783456383729</v>
      </c>
      <c r="E67" s="92">
        <f>Test_dat!$R$43</f>
        <v>46.45584163213867</v>
      </c>
      <c r="F67" s="63">
        <f>E67/(100000*D67*mu_0)</f>
        <v>70521.75817176222</v>
      </c>
      <c r="G67" s="63">
        <f>pi2*f_spec*E67*E67/(1000000*F67*mu_0*TAN(H67*pi2/360)*m_Fe)</f>
        <v>0.0005892430054418168</v>
      </c>
      <c r="H67" s="93">
        <f>Test_dat!$P$43</f>
        <v>60</v>
      </c>
      <c r="I67" s="67">
        <f>Test_dat!$U43</f>
        <v>0</v>
      </c>
      <c r="J67" s="63">
        <f>EXP(M64*LN(E67)+N64)</f>
        <v>0.0006026611238141671</v>
      </c>
      <c r="K67" s="67">
        <f>LN(E67)</f>
        <v>3.838502219077772</v>
      </c>
      <c r="L67" s="67">
        <f>LN(G67)</f>
        <v>-7.436671886491177</v>
      </c>
    </row>
    <row r="68" spans="2:14" ht="12.75">
      <c r="B68" s="76" t="s">
        <v>136</v>
      </c>
      <c r="D68" s="93">
        <f>Test_dat!$Q$60</f>
        <v>0.009786024030770082</v>
      </c>
      <c r="E68" s="93">
        <f>Test_dat!$R$60</f>
        <v>0.15005236847180792</v>
      </c>
      <c r="F68" s="63">
        <f>E68/(100000*D68*mu_0)</f>
        <v>122.08067940552017</v>
      </c>
      <c r="G68" s="63">
        <f>pi2*f_spec*E68*E68/(1000000*F68*mu_0*TAN(H68*pi2/360)*m_Fe)</f>
        <v>2.097737262484398E-06</v>
      </c>
      <c r="H68" s="2">
        <v>71.16812147360184</v>
      </c>
      <c r="I68" t="s">
        <v>119</v>
      </c>
      <c r="J68" s="63">
        <f>EXP(M68*LN(E68)+N68)</f>
        <v>2.088734182412431E-06</v>
      </c>
      <c r="K68" s="67">
        <f>LN(E68)</f>
        <v>-1.8967709226697997</v>
      </c>
      <c r="L68" s="67">
        <f>LN(G68)</f>
        <v>-13.07465128820399</v>
      </c>
      <c r="M68" s="67">
        <f>INDEX(LINEST(L68:L71,K68:K71),1)</f>
        <v>1.4524746568698104</v>
      </c>
      <c r="N68" s="67">
        <f>INDEX(LINEST(L68:L71,K68:K71),2)</f>
        <v>-10.323940634752905</v>
      </c>
    </row>
    <row r="69" spans="3:12" ht="12.75">
      <c r="C69">
        <v>7650</v>
      </c>
      <c r="D69" s="93">
        <f>Test_dat!$Q$61</f>
        <v>0.03914409612308033</v>
      </c>
      <c r="E69" s="93">
        <f>Test_dat!$R$61</f>
        <v>6.9024089497031635</v>
      </c>
      <c r="F69" s="63">
        <f>E69/(100000*D69*mu_0)</f>
        <v>1403.927813163482</v>
      </c>
      <c r="G69" s="63">
        <f>pi2*f_spec*E69*E69/(1000000*F69*mu_0*TAN(H69*pi2/360)*m_Fe)</f>
        <v>0.0005219551715836181</v>
      </c>
      <c r="H69" s="2">
        <v>65.24133175029206</v>
      </c>
      <c r="J69" s="63">
        <f>EXP(M68*LN(E69)+N68)</f>
        <v>0.0005432463100697136</v>
      </c>
      <c r="K69" s="67">
        <f>LN(E69)</f>
        <v>1.931870473819295</v>
      </c>
      <c r="L69" s="67">
        <f>LN(G69)</f>
        <v>-7.557928851961681</v>
      </c>
    </row>
    <row r="70" spans="3:12" ht="12.75">
      <c r="C70" s="67">
        <f>Test_dat!$F$40</f>
        <v>0.93</v>
      </c>
      <c r="D70" s="93">
        <f>Test_dat!$Q$62</f>
        <v>0.11743228836924098</v>
      </c>
      <c r="E70" s="93">
        <f>Test_dat!$R$62</f>
        <v>150.0523684718079</v>
      </c>
      <c r="F70" s="63">
        <f>E70/(100000*D70*mu_0)</f>
        <v>10173.389950460014</v>
      </c>
      <c r="G70" s="63">
        <f>pi2*f_spec*E70*E70/(1000000*F70*mu_0*TAN(H70*pi2/360)*m_Fe)</f>
        <v>0.05244343156211001</v>
      </c>
      <c r="H70" s="2">
        <v>54.60564142925673</v>
      </c>
      <c r="J70" s="63">
        <f>EXP(M68*LN(E70)+N68)</f>
        <v>0.04756715146524094</v>
      </c>
      <c r="K70" s="67">
        <f>LN(E70)</f>
        <v>5.0109843563123375</v>
      </c>
      <c r="L70" s="67">
        <f>LN(G70)</f>
        <v>-2.9480201843536507</v>
      </c>
    </row>
    <row r="71" spans="4:12" ht="12.75">
      <c r="D71" s="93">
        <f>Test_dat!$Q$63</f>
        <v>0.19572048061540162</v>
      </c>
      <c r="E71" s="93">
        <f>Test_dat!$R$63</f>
        <v>678.2367054925718</v>
      </c>
      <c r="F71" s="63">
        <f>E71/(100000*D71*mu_0)</f>
        <v>27590.233545647563</v>
      </c>
      <c r="G71" s="63">
        <f>pi2*f_spec*E71*E71/(1000000*F71*mu_0*TAN(H71*pi2/360)*m_Fe)</f>
        <v>0.3999362984993973</v>
      </c>
      <c r="H71" s="2">
        <v>54.27406122843884</v>
      </c>
      <c r="J71" s="63">
        <f>EXP(M68*LN(E71)+N68)</f>
        <v>0.425479968090396</v>
      </c>
      <c r="K71" s="67">
        <f>LN(E71)</f>
        <v>6.519496350156477</v>
      </c>
      <c r="L71" s="67">
        <f>LN(G71)</f>
        <v>-0.9164499983078869</v>
      </c>
    </row>
    <row r="72" spans="2:14" ht="12.75">
      <c r="B72" s="73" t="s">
        <v>137</v>
      </c>
      <c r="D72" s="2">
        <v>0.01</v>
      </c>
      <c r="E72" s="2">
        <v>35</v>
      </c>
      <c r="F72" s="63">
        <f>E72/(100000*D72*mu_0)</f>
        <v>27866.242038216562</v>
      </c>
      <c r="G72" s="2">
        <v>0.0005</v>
      </c>
      <c r="H72" s="63">
        <f>(360/pi2)*ATAN(pi2*f*E72*E72/(G72*m_Fe*1000000*F72*mu_0))</f>
        <v>89.9607087022031</v>
      </c>
      <c r="I72" t="s">
        <v>138</v>
      </c>
      <c r="J72" s="63">
        <f>EXP(M72*LN(E72)+N72)</f>
        <v>0.0005074389529681622</v>
      </c>
      <c r="K72" s="67">
        <f>LN(E72)</f>
        <v>3.5553480614894135</v>
      </c>
      <c r="L72" s="67">
        <f>LN(G72)</f>
        <v>-7.600902459542082</v>
      </c>
      <c r="M72" s="67">
        <f>INDEX(LINEST(L72:L75,K72:K75),1)</f>
        <v>1.8957699773653562</v>
      </c>
      <c r="N72" s="67">
        <f>INDEX(LINEST(L72:L75,K72:K75),2)</f>
        <v>-14.326256258057375</v>
      </c>
    </row>
    <row r="73" spans="3:12" ht="12.75">
      <c r="C73">
        <v>7650</v>
      </c>
      <c r="D73" s="2">
        <v>0.04</v>
      </c>
      <c r="E73" s="2">
        <v>220</v>
      </c>
      <c r="F73" s="63">
        <f>E73/(100000*D73*mu_0)</f>
        <v>43789.80891719746</v>
      </c>
      <c r="G73" s="2">
        <v>0.017</v>
      </c>
      <c r="H73" s="63">
        <f>(360/pi2)*ATAN(pi2*f*E73*E73/(G73*m_Fe*1000000*F73*mu_0))</f>
        <v>89.94694159520678</v>
      </c>
      <c r="J73" s="63">
        <f>EXP(M72*LN(E73)+N72)</f>
        <v>0.016553146297919593</v>
      </c>
      <c r="K73" s="67">
        <f>LN(E73)</f>
        <v>5.393627546352362</v>
      </c>
      <c r="L73" s="67">
        <f>LN(G73)</f>
        <v>-4.074541934925921</v>
      </c>
    </row>
    <row r="74" spans="3:12" ht="12.75">
      <c r="C74" s="67">
        <f>Test_dat!$F$40</f>
        <v>0.93</v>
      </c>
      <c r="D74" s="2">
        <v>0.072</v>
      </c>
      <c r="E74" s="2">
        <v>700</v>
      </c>
      <c r="F74" s="63">
        <f>E74/(100000*D74*mu_0)</f>
        <v>77406.22788393492</v>
      </c>
      <c r="G74" s="2">
        <v>0.15</v>
      </c>
      <c r="H74" s="63">
        <f>(360/pi2)*ATAN(pi2*f*E74*E74/(G74*m_Fe*1000000*F74*mu_0))</f>
        <v>89.91837116864511</v>
      </c>
      <c r="J74" s="63">
        <f>EXP(M72*LN(E74)+N72)</f>
        <v>0.14853794379988886</v>
      </c>
      <c r="K74" s="67">
        <f>LN(E74)</f>
        <v>6.551080335043404</v>
      </c>
      <c r="L74" s="67">
        <f>LN(G74)</f>
        <v>-1.8971199848858813</v>
      </c>
    </row>
    <row r="75" spans="4:12" ht="12.75">
      <c r="D75" s="2">
        <v>0.12</v>
      </c>
      <c r="E75" s="2">
        <v>1300</v>
      </c>
      <c r="F75" s="63">
        <f>E75/(100000*D75*mu_0)</f>
        <v>86252.65392781317</v>
      </c>
      <c r="G75" s="2">
        <v>0.47</v>
      </c>
      <c r="H75" s="63">
        <f>(360/pi2)*ATAN(pi2*f*E75*E75/(G75*m_Fe*1000000*F75*mu_0))</f>
        <v>89.91736909773975</v>
      </c>
      <c r="J75" s="63">
        <f>EXP(M72*LN(E75)+N72)</f>
        <v>0.48029302457997025</v>
      </c>
      <c r="K75" s="67">
        <f>LN(E75)</f>
        <v>7.170119543449628</v>
      </c>
      <c r="L75" s="67">
        <f>LN(G75)</f>
        <v>-0.7550225842780328</v>
      </c>
    </row>
    <row r="76" spans="2:14" ht="12.75">
      <c r="B76" s="76" t="s">
        <v>139</v>
      </c>
      <c r="D76" s="93">
        <f>Test_dat!$Q$16</f>
        <v>0.000643081579164891</v>
      </c>
      <c r="E76" s="93">
        <f>Test_dat!$R$16</f>
        <v>4.532755231532604</v>
      </c>
      <c r="F76" s="63">
        <f>E76/(100000*D76*mu_0)</f>
        <v>56118.565213056</v>
      </c>
      <c r="G76" s="63">
        <f>pi2*f_spec*E76*E76/(1000000*F76*mu_0*TAN(H76*pi2/360)*m_Fe)</f>
        <v>3.4086497286740115E-06</v>
      </c>
      <c r="H76" s="93">
        <f>Test_dat!$P$16</f>
        <v>74.40183530803078</v>
      </c>
      <c r="J76" s="63">
        <f>EXP(M76*LN(E76)+N76)</f>
        <v>3.244501049865525E-06</v>
      </c>
      <c r="K76" s="67">
        <f>LN(E76)</f>
        <v>1.5113299734861736</v>
      </c>
      <c r="L76" s="67">
        <f>LN(G76)</f>
        <v>-12.589194319083145</v>
      </c>
      <c r="M76" s="67">
        <f>INDEX(LINEST(L76:L79,K76:K79),1)</f>
        <v>2.2631562856905925</v>
      </c>
      <c r="N76" s="67">
        <f>INDEX(LINEST(L76:L79,K76:K79),2)</f>
        <v>-16.058924908549923</v>
      </c>
    </row>
    <row r="77" spans="3:12" ht="12.75">
      <c r="C77">
        <v>7500</v>
      </c>
      <c r="D77" s="93">
        <f>Test_dat!$Q$17</f>
        <v>0.003215407895824455</v>
      </c>
      <c r="E77" s="93">
        <f>Test_dat!$R$17</f>
        <v>27.388056258133627</v>
      </c>
      <c r="F77" s="63">
        <f>E77/(100000*D77*mu_0)</f>
        <v>67816.51965183389</v>
      </c>
      <c r="G77" s="63">
        <f>pi2*f_spec*E77*E77/(1000000*F77*mu_0*TAN(H77*pi2/360)*m_Fe)</f>
        <v>0.0001771886761216558</v>
      </c>
      <c r="H77" s="93">
        <f>Test_dat!$P$17</f>
        <v>64.34299768328036</v>
      </c>
      <c r="J77" s="63">
        <f>EXP(M76*LN(E77)+N76)</f>
        <v>0.00019016177315748074</v>
      </c>
      <c r="K77" s="67">
        <f>LN(E77)</f>
        <v>3.3101070153728753</v>
      </c>
      <c r="L77" s="67">
        <f>LN(G77)</f>
        <v>-8.638295426340601</v>
      </c>
    </row>
    <row r="78" spans="3:12" ht="12.75">
      <c r="C78" s="67">
        <f>Test_dat!$F$40</f>
        <v>0.93</v>
      </c>
      <c r="D78" s="93">
        <f>Test_dat!$Q$18</f>
        <v>0.00643081579164891</v>
      </c>
      <c r="E78" s="93">
        <f>Test_dat!$R$18</f>
        <v>68.31053658788575</v>
      </c>
      <c r="F78" s="63">
        <f>E78/(100000*D78*mu_0)</f>
        <v>84573.04898305627</v>
      </c>
      <c r="G78" s="63">
        <f>pi2*f_spec*E78*E78/(1000000*F78*mu_0*TAN(H78*pi2/360)*m_Fe)</f>
        <v>0.0013637597282007037</v>
      </c>
      <c r="H78" s="93">
        <f>Test_dat!$P$18</f>
        <v>53.45661636189257</v>
      </c>
      <c r="J78" s="63">
        <f>EXP(M76*LN(E78)+N76)</f>
        <v>0.001504630596561001</v>
      </c>
      <c r="K78" s="67">
        <f>LN(E78)</f>
        <v>4.2240640239008105</v>
      </c>
      <c r="L78" s="67">
        <f>LN(G78)</f>
        <v>-6.597509887423039</v>
      </c>
    </row>
    <row r="79" spans="4:12" ht="12.75">
      <c r="D79" s="93">
        <f>Test_dat!$Q$19</f>
        <v>0.009646223687473365</v>
      </c>
      <c r="E79" s="93">
        <f>Test_dat!$R$19</f>
        <v>121.937499890525</v>
      </c>
      <c r="F79" s="63">
        <f>E79/(100000*D79*mu_0)</f>
        <v>100644.56296426007</v>
      </c>
      <c r="G79" s="63">
        <f>pi2*f_spec*E79*E79/(1000000*F79*mu_0*TAN(H79*pi2/360)*m_Fe)</f>
        <v>0.006293569972524014</v>
      </c>
      <c r="H79" s="93">
        <f>Test_dat!$P$19</f>
        <v>38.05607866576775</v>
      </c>
      <c r="J79" s="63">
        <f>EXP(M76*LN(E79)+N76)</f>
        <v>0.005584087814693787</v>
      </c>
      <c r="K79" s="67">
        <f>LN(E79)</f>
        <v>4.803508617485534</v>
      </c>
      <c r="L79" s="67">
        <f>LN(G79)</f>
        <v>-5.068226806073498</v>
      </c>
    </row>
    <row r="80" spans="2:14" s="87" customFormat="1" ht="12.75">
      <c r="B80" s="86" t="s">
        <v>102</v>
      </c>
      <c r="C80" s="87" t="s">
        <v>131</v>
      </c>
      <c r="D80" s="87" t="s">
        <v>35</v>
      </c>
      <c r="E80" s="87" t="s">
        <v>22</v>
      </c>
      <c r="F80" s="85" t="s">
        <v>104</v>
      </c>
      <c r="G80" s="87" t="s">
        <v>105</v>
      </c>
      <c r="H80" s="87" t="s">
        <v>33</v>
      </c>
      <c r="I80" s="87" t="s">
        <v>106</v>
      </c>
      <c r="J80" s="87" t="s">
        <v>107</v>
      </c>
      <c r="L80" s="87" t="s">
        <v>108</v>
      </c>
      <c r="M80" s="87" t="s">
        <v>109</v>
      </c>
      <c r="N80" s="87" t="s">
        <v>110</v>
      </c>
    </row>
    <row r="81" spans="2:8" s="88" customFormat="1" ht="12.75">
      <c r="B81" s="89"/>
      <c r="C81" s="88" t="s">
        <v>132</v>
      </c>
      <c r="D81" s="88" t="s">
        <v>45</v>
      </c>
      <c r="E81" s="88" t="s">
        <v>39</v>
      </c>
      <c r="H81" s="88" t="s">
        <v>42</v>
      </c>
    </row>
    <row r="82" spans="2:14" s="2" customFormat="1" ht="12.75">
      <c r="B82" s="115" t="s">
        <v>140</v>
      </c>
      <c r="C82"/>
      <c r="D82" s="93">
        <v>0.009786024030770082</v>
      </c>
      <c r="E82" s="93">
        <v>11.303945091542865</v>
      </c>
      <c r="F82" s="63">
        <f>E82/(100000*D82*mu_0)</f>
        <v>9196.744515215854</v>
      </c>
      <c r="G82" s="63">
        <f>pi2*f_spec*E82*E82/(1000000*F82*mu_0*TAN(H82*pi2/360)*m_Fe)</f>
        <v>0.0002510191715779234</v>
      </c>
      <c r="H82" s="116">
        <v>61.55422895169412</v>
      </c>
      <c r="I82"/>
      <c r="J82" s="63">
        <f>EXP(M82*LN(E82)+N82)</f>
        <v>0.00022475898696790623</v>
      </c>
      <c r="K82" s="67">
        <f>LN(E82)</f>
        <v>2.4251517879343765</v>
      </c>
      <c r="L82" s="67">
        <f>LN(G82)</f>
        <v>-8.289981240960815</v>
      </c>
      <c r="M82" s="67">
        <f>INDEX(LINEST(L82:L85,K82:K85),1)</f>
        <v>1.9306432762195742</v>
      </c>
      <c r="N82" s="67">
        <f>INDEX(LINEST(L82:L85,K82:K85),2)</f>
        <v>-13.08258489209033</v>
      </c>
    </row>
    <row r="83" spans="2:14" s="2" customFormat="1" ht="12.75">
      <c r="B83" s="76"/>
      <c r="C83">
        <v>7500</v>
      </c>
      <c r="D83" s="93">
        <v>0.03914409612308033</v>
      </c>
      <c r="E83" s="93">
        <v>82.22869792255074</v>
      </c>
      <c r="F83" s="63">
        <f>E83/(100000*D83*mu_0)</f>
        <v>16725.053078556262</v>
      </c>
      <c r="G83" s="63">
        <f>pi2*f_spec*E83*E83/(1000000*F83*mu_0*TAN(H83*pi2/360)*m_Fe)</f>
        <v>0.008862423593927702</v>
      </c>
      <c r="H83" s="93">
        <v>56.68236975496688</v>
      </c>
      <c r="I83"/>
      <c r="J83" s="63">
        <f>EXP(M82*LN(E83)+N82)</f>
        <v>0.010364125162084197</v>
      </c>
      <c r="K83" s="67">
        <f>LN(E83)</f>
        <v>4.409504364278216</v>
      </c>
      <c r="L83" s="67">
        <f>LN(G83)</f>
        <v>-4.725935008438606</v>
      </c>
      <c r="M83"/>
      <c r="N83"/>
    </row>
    <row r="84" spans="2:14" s="2" customFormat="1" ht="12.75">
      <c r="B84" s="76"/>
      <c r="C84" s="67">
        <f>Test_dat!$F$8</f>
        <v>0.93</v>
      </c>
      <c r="D84" s="93">
        <v>0.11743228836924098</v>
      </c>
      <c r="E84" s="93">
        <v>367.6283027559294</v>
      </c>
      <c r="F84" s="63">
        <f>E84/(100000*D84*mu_0)</f>
        <v>24924.805378627036</v>
      </c>
      <c r="G84" s="63">
        <f>pi2*f_spec*E84*E84/(1000000*F84*mu_0*TAN(H84*pi2/360)*m_Fe)</f>
        <v>0.1594417230623026</v>
      </c>
      <c r="H84" s="93">
        <v>48.59758594456773</v>
      </c>
      <c r="I84"/>
      <c r="J84" s="63">
        <f>EXP(M82*LN(E84)+N82)</f>
        <v>0.18672182848707072</v>
      </c>
      <c r="K84" s="67">
        <f>LN(E84)</f>
        <v>5.907072380868973</v>
      </c>
      <c r="L84" s="67">
        <f>LN(G84)</f>
        <v>-1.8360767961722282</v>
      </c>
      <c r="M84"/>
      <c r="N84"/>
    </row>
    <row r="85" spans="2:14" s="2" customFormat="1" ht="12.75">
      <c r="B85" s="76"/>
      <c r="C85"/>
      <c r="D85" s="93">
        <v>0.19572048061540162</v>
      </c>
      <c r="E85" s="93">
        <v>768.2681265756565</v>
      </c>
      <c r="F85" s="63">
        <f>E85/(100000*D85*mu_0)</f>
        <v>31252.653927813168</v>
      </c>
      <c r="G85" s="63">
        <f>pi2*f_spec*E85*E85/(1000000*F85*mu_0*TAN(H85*pi2/360)*m_Fe)</f>
        <v>0.9501341332667175</v>
      </c>
      <c r="H85" s="93">
        <v>33.54067034341489</v>
      </c>
      <c r="I85"/>
      <c r="J85" s="63">
        <f>EXP(M82*LN(E85)+N82)</f>
        <v>0.7748211886659961</v>
      </c>
      <c r="K85" s="67">
        <f>LN(E85)</f>
        <v>6.644138795363753</v>
      </c>
      <c r="L85" s="67">
        <f>LN(G85)</f>
        <v>-0.05115211144199745</v>
      </c>
      <c r="M85"/>
      <c r="N85"/>
    </row>
    <row r="86" spans="2:14" s="2" customFormat="1" ht="12.75">
      <c r="B86" s="114" t="s">
        <v>141</v>
      </c>
      <c r="D86" s="93">
        <v>0.0006295903572243688</v>
      </c>
      <c r="E86" s="93">
        <v>3.12815055214169</v>
      </c>
      <c r="F86" s="93">
        <v>39558.51130261023</v>
      </c>
      <c r="G86" s="63">
        <f>pi2*f_spec*E86*E86/(1000000*F86*mu_0*TAN(H86*pi2/360)*m_Fe)</f>
        <v>3.6987833896712218E-06</v>
      </c>
      <c r="H86" s="93">
        <v>65.85045265480545</v>
      </c>
      <c r="J86" s="63">
        <f>EXP(M86*LN(E86)+N86)</f>
        <v>2.3805042692079593E-06</v>
      </c>
      <c r="K86" s="67">
        <f>LN(E86)</f>
        <v>1.14044195200491</v>
      </c>
      <c r="L86" s="67">
        <f>LN(G86)</f>
        <v>-12.507506605987514</v>
      </c>
      <c r="M86" s="67">
        <f>INDEX(LINEST(L86:L89,K86:K89),1)</f>
        <v>2.3554869481772323</v>
      </c>
      <c r="N86" s="67">
        <f>INDEX(LINEST(L86:L89,K86:K89),2)</f>
        <v>-15.634494348006687</v>
      </c>
    </row>
    <row r="87" spans="2:12" s="2" customFormat="1" ht="12.75">
      <c r="B87" s="73"/>
      <c r="C87" s="2">
        <v>7500</v>
      </c>
      <c r="D87" s="93">
        <v>0.0018887710716731063</v>
      </c>
      <c r="E87" s="93">
        <v>11.227447805655274</v>
      </c>
      <c r="F87" s="93">
        <v>47327.338578743605</v>
      </c>
      <c r="G87" s="63">
        <f>pi2*f_spec*E87*E87/(1000000*F87*mu_0*TAN(H87*pi2/360)*m_Fe)</f>
        <v>2.7400110330808622E-05</v>
      </c>
      <c r="H87" s="93">
        <v>72.85679919657046</v>
      </c>
      <c r="J87" s="63">
        <f>EXP(M86*LN(E87)+N86)</f>
        <v>4.830017121207379E-05</v>
      </c>
      <c r="K87" s="67">
        <f>LN(E87)</f>
        <v>2.4183614771740514</v>
      </c>
      <c r="L87" s="67">
        <f>LN(G87)</f>
        <v>-10.504963517906509</v>
      </c>
    </row>
    <row r="88" spans="2:12" s="2" customFormat="1" ht="12.75">
      <c r="B88" s="73"/>
      <c r="C88" s="67">
        <f>Test_dat!$F$8</f>
        <v>0.93</v>
      </c>
      <c r="D88" s="93">
        <v>0.006295903572243688</v>
      </c>
      <c r="E88" s="93">
        <v>48.36982230738278</v>
      </c>
      <c r="F88" s="93">
        <v>61168.35269139504</v>
      </c>
      <c r="G88" s="63">
        <f>pi2*f_spec*E88*E88/(1000000*F88*mu_0*TAN(H88*pi2/360)*m_Fe)</f>
        <v>0.001343309279204211</v>
      </c>
      <c r="H88" s="93">
        <v>43.51940863384405</v>
      </c>
      <c r="J88" s="63">
        <f>EXP(M86*LN(E88)+N86)</f>
        <v>0.0015066716146830042</v>
      </c>
      <c r="K88" s="67">
        <f>LN(E88)</f>
        <v>3.8788761132160454</v>
      </c>
      <c r="L88" s="67">
        <f>LN(G88)</f>
        <v>-6.61261909815157</v>
      </c>
    </row>
    <row r="89" spans="2:12" s="2" customFormat="1" ht="12.75">
      <c r="B89" s="73"/>
      <c r="D89" s="93">
        <v>0.022035662502852906</v>
      </c>
      <c r="E89" s="93">
        <v>233.02250162680758</v>
      </c>
      <c r="F89" s="93">
        <v>84194.18722903176</v>
      </c>
      <c r="G89" s="63">
        <f>pi2*f_spec*E89*E89/(1000000*F89*mu_0*TAN(H89*pi2/360)*m_Fe)</f>
        <v>0.07781246165501865</v>
      </c>
      <c r="H89" s="93">
        <v>15.451657298248348</v>
      </c>
      <c r="J89" s="63">
        <f>EXP(M86*LN(E89)+N86)</f>
        <v>0.06115051775172283</v>
      </c>
      <c r="K89" s="67">
        <f>LN(E89)</f>
        <v>5.451135022408391</v>
      </c>
      <c r="L89" s="67">
        <f>LN(G89)</f>
        <v>-2.553453685110141</v>
      </c>
    </row>
    <row r="90" spans="2:14" s="2" customFormat="1" ht="12.75">
      <c r="B90" s="73" t="s">
        <v>142</v>
      </c>
      <c r="C90"/>
      <c r="D90" s="93">
        <f>Test_dat!$Q$56</f>
        <v>0.001957204806154016</v>
      </c>
      <c r="E90" s="93">
        <f>Test_dat!$R$56</f>
        <v>5.927994803824509</v>
      </c>
      <c r="F90" s="63">
        <f>E90/(100000*D90*mu_0)</f>
        <v>24114.70210479411</v>
      </c>
      <c r="G90" s="63">
        <f>pi2*f_spec*E90*E90/(1000000*F90*mu_0*TAN(H90*pi2/360)*m_Fe)</f>
        <v>4.827826911162812E-06</v>
      </c>
      <c r="H90" s="93">
        <f>Test_dat!$P$56</f>
        <v>84.32673308225255</v>
      </c>
      <c r="I90" t="s">
        <v>143</v>
      </c>
      <c r="J90" s="63">
        <f>EXP(M90*LN(E90)+N90)</f>
        <v>4.350657534443776E-06</v>
      </c>
      <c r="K90" s="67">
        <f>LN(E90)</f>
        <v>1.7796860114455793</v>
      </c>
      <c r="L90" s="67">
        <f>LN(G90)</f>
        <v>-12.241114106414981</v>
      </c>
      <c r="M90" s="67">
        <f>INDEX(LINEST(L90:L93,K90:K93),1)</f>
        <v>2.456788069731782</v>
      </c>
      <c r="N90" s="67">
        <f>INDEX(LINEST(L90:L93,K90:K93),2)</f>
        <v>-16.717494927731444</v>
      </c>
    </row>
    <row r="91" spans="2:14" s="2" customFormat="1" ht="12.75">
      <c r="B91" s="76"/>
      <c r="C91">
        <v>7500</v>
      </c>
      <c r="D91" s="93">
        <f>Test_dat!$Q$57</f>
        <v>0.003914409612308032</v>
      </c>
      <c r="E91" s="93">
        <f>Test_dat!$R$57</f>
        <v>12.658738904000256</v>
      </c>
      <c r="F91" s="63">
        <f>E91/(100000*D91*mu_0)</f>
        <v>25747.468393139545</v>
      </c>
      <c r="G91" s="63">
        <f>pi2*f_spec*E91*E91/(1000000*F91*mu_0*TAN(H91*pi2/360)*m_Fe)</f>
        <v>2.256310514349073E-05</v>
      </c>
      <c r="H91" s="93">
        <f>Test_dat!$P$57</f>
        <v>83.79578414142466</v>
      </c>
      <c r="I91"/>
      <c r="J91" s="63">
        <f>EXP(M90*LN(E91)+N90)</f>
        <v>2.8055879558472074E-05</v>
      </c>
      <c r="K91" s="67">
        <f>LN(E91)</f>
        <v>2.5383477991161514</v>
      </c>
      <c r="L91" s="67">
        <f>LN(G91)</f>
        <v>-10.699194501466712</v>
      </c>
      <c r="M91"/>
      <c r="N91"/>
    </row>
    <row r="92" spans="2:14" s="2" customFormat="1" ht="12.75">
      <c r="B92" s="76"/>
      <c r="C92" s="67">
        <f>Test_dat!$F$8</f>
        <v>0.93</v>
      </c>
      <c r="D92" s="93">
        <f>Test_dat!$Q$58</f>
        <v>0.0068502168215390565</v>
      </c>
      <c r="E92" s="93">
        <f>Test_dat!$R$58</f>
        <v>26.799476508956637</v>
      </c>
      <c r="F92" s="63">
        <f>E92/(100000*D92*mu_0)</f>
        <v>31148.156885359054</v>
      </c>
      <c r="G92" s="63">
        <f>pi2*f_spec*E92*E92/(1000000*F92*mu_0*TAN(H92*pi2/360)*m_Fe)</f>
        <v>0.00020001715782558556</v>
      </c>
      <c r="H92" s="93">
        <f>Test_dat!$P$58</f>
        <v>75.42002717656861</v>
      </c>
      <c r="I92"/>
      <c r="J92" s="63">
        <f>EXP(M90*LN(E92)+N90)</f>
        <v>0.00017712827125223365</v>
      </c>
      <c r="K92" s="67">
        <f>LN(E92)</f>
        <v>3.288382354078148</v>
      </c>
      <c r="L92" s="67">
        <f>LN(G92)</f>
        <v>-8.517107405967986</v>
      </c>
      <c r="M92"/>
      <c r="N92"/>
    </row>
    <row r="93" spans="2:14" s="2" customFormat="1" ht="12.75">
      <c r="B93" s="76"/>
      <c r="C93"/>
      <c r="D93" s="93">
        <f>Test_dat!$Q$59</f>
        <v>0.011743228836924097</v>
      </c>
      <c r="E93" s="93">
        <f>Test_dat!$R$59</f>
        <v>61.50294608967928</v>
      </c>
      <c r="F93" s="63">
        <f>E93/(100000*D93*mu_0)</f>
        <v>41698.339056206474</v>
      </c>
      <c r="G93" s="63">
        <f>pi2*f_spec*E93*E93/(1000000*F93*mu_0*TAN(H93*pi2/360)*m_Fe)</f>
        <v>0.0013529171937723611</v>
      </c>
      <c r="H93" s="93">
        <f>Test_dat!$P$59</f>
        <v>65.90583179109498</v>
      </c>
      <c r="I93"/>
      <c r="J93" s="63">
        <f>EXP(M90*LN(E93)+N90)</f>
        <v>0.0013633970660611376</v>
      </c>
      <c r="K93" s="67">
        <f>LN(E93)</f>
        <v>4.1190850775623415</v>
      </c>
      <c r="L93" s="67">
        <f>LN(G93)</f>
        <v>-6.605492133608485</v>
      </c>
      <c r="M93"/>
      <c r="N93"/>
    </row>
    <row r="94" spans="2:18" s="2" customFormat="1" ht="12.75">
      <c r="B94" s="73" t="s">
        <v>144</v>
      </c>
      <c r="D94">
        <v>0.0017000000000000001</v>
      </c>
      <c r="E94">
        <v>1</v>
      </c>
      <c r="F94" s="63">
        <f>E94/(100000*D94*mu_0)</f>
        <v>4683.402023229674</v>
      </c>
      <c r="G94" s="63">
        <f>pi2*f_spec*E94*E94/(1000000*F94*mu_0*TAN(H94*pi2/360)*m_Fe)</f>
        <v>5.97517014666889E-06</v>
      </c>
      <c r="H94" s="113">
        <v>50</v>
      </c>
      <c r="J94" s="63">
        <f>EXP(M94*LN(E94)+N94)</f>
        <v>5.659454461427305E-06</v>
      </c>
      <c r="K94" s="2">
        <f>LN(E94)</f>
        <v>0</v>
      </c>
      <c r="L94" s="67">
        <f>LN(G94)</f>
        <v>-12.027897984122205</v>
      </c>
      <c r="M94" s="67">
        <f>INDEX(LINEST(L94:L97,K94:K97),1)</f>
        <v>1.816633208129686</v>
      </c>
      <c r="N94" s="67">
        <f>INDEX(LINEST(L94:L97,K94:K97),2)</f>
        <v>-12.082183055301343</v>
      </c>
      <c r="O94"/>
      <c r="P94" s="23">
        <v>30</v>
      </c>
      <c r="Q94" s="23">
        <f>30+(2*18)</f>
        <v>66</v>
      </c>
      <c r="R94" s="23">
        <v>23</v>
      </c>
    </row>
    <row r="95" spans="2:15" s="2" customFormat="1" ht="12.75">
      <c r="B95" s="73"/>
      <c r="D95" s="2">
        <v>0.09380000000000001</v>
      </c>
      <c r="E95" s="2">
        <v>238.1</v>
      </c>
      <c r="F95" s="63">
        <f>E95/(100000*D95*mu_0)</f>
        <v>20210.02811239526</v>
      </c>
      <c r="G95" s="63">
        <f>pi2*f_spec*E95*E95/(1000000*F95*mu_0*TAN(H95*pi2/360)*m_Fe)</f>
        <v>0.08846714349903068</v>
      </c>
      <c r="H95" s="113">
        <v>46.6</v>
      </c>
      <c r="J95" s="63">
        <f>EXP(M94*LN(E95)+N94)</f>
        <v>0.11761822339487613</v>
      </c>
      <c r="K95" s="2">
        <f>LN(E95)</f>
        <v>5.472690753492817</v>
      </c>
      <c r="L95" s="67">
        <f>LN(G95)</f>
        <v>-2.4251240558002296</v>
      </c>
      <c r="O95"/>
    </row>
    <row r="96" spans="2:15" s="2" customFormat="1" ht="12.75">
      <c r="B96" s="73"/>
      <c r="D96" s="2">
        <v>0.19790000000000002</v>
      </c>
      <c r="E96" s="2">
        <v>666.7</v>
      </c>
      <c r="F96" s="63">
        <f>E96/(100000*D96*mu_0)</f>
        <v>26822.23860085033</v>
      </c>
      <c r="G96" s="63">
        <f>pi2*f_spec*E96*E96/(1000000*F96*mu_0*TAN(H96*pi2/360)*m_Fe)</f>
        <v>0.8132267364759951</v>
      </c>
      <c r="H96" s="113">
        <v>34.2</v>
      </c>
      <c r="J96" s="63">
        <f>EXP(M94*LN(E96)+N94)</f>
        <v>0.7635199900023922</v>
      </c>
      <c r="K96" s="2">
        <f>LN(E96)</f>
        <v>6.502340169624015</v>
      </c>
      <c r="L96" s="67">
        <f>LN(G96)</f>
        <v>-0.20674531966217768</v>
      </c>
      <c r="O96"/>
    </row>
    <row r="97" spans="2:15" s="2" customFormat="1" ht="12.75">
      <c r="B97" s="73"/>
      <c r="D97" s="2">
        <v>0.2852</v>
      </c>
      <c r="E97" s="2">
        <v>952.4</v>
      </c>
      <c r="F97" s="63">
        <f>E97/(100000*D97*mu_0)</f>
        <v>26587.66671728857</v>
      </c>
      <c r="G97" s="63">
        <f>pi2*f_spec*E97*E97/(1000000*F97*mu_0*TAN(H97*pi2/360)*m_Fe)</f>
        <v>1.7255297675645411</v>
      </c>
      <c r="H97" s="113">
        <v>33.4</v>
      </c>
      <c r="J97" s="63">
        <f>EXP(M94*LN(E97)+N94)</f>
        <v>1.459475431945988</v>
      </c>
      <c r="K97" s="2">
        <f>LN(E97)</f>
        <v>6.858985114612707</v>
      </c>
      <c r="L97" s="67">
        <f>LN(G97)</f>
        <v>0.545534114965817</v>
      </c>
      <c r="O97"/>
    </row>
    <row r="98" spans="2:15" s="2" customFormat="1" ht="12.75">
      <c r="B98" s="73" t="s">
        <v>145</v>
      </c>
      <c r="D98" s="34">
        <v>0.00125</v>
      </c>
      <c r="E98" s="34">
        <v>1</v>
      </c>
      <c r="F98" s="63">
        <f>E98/(100000*D98*mu_0)</f>
        <v>6369.426751592357</v>
      </c>
      <c r="G98" s="63">
        <f>pi2*f_spec*E98*E98/(1000000*F98*mu_0*TAN(H98*pi2/360)*m_Fe)</f>
        <v>3.6611831936996286E-07</v>
      </c>
      <c r="H98" s="2">
        <v>86</v>
      </c>
      <c r="J98" s="63">
        <f>EXP(M98*LN(E98)+N98)</f>
        <v>3.2091084593610696E-07</v>
      </c>
      <c r="K98" s="2">
        <f>LN(E98)</f>
        <v>0</v>
      </c>
      <c r="L98" s="67">
        <f>LN(G98)</f>
        <v>-14.820309278820673</v>
      </c>
      <c r="M98" s="67">
        <f>INDEX(LINEST(L98:L101,K98:K101),1)</f>
        <v>2.5642955376209633</v>
      </c>
      <c r="N98" s="67">
        <f>INDEX(LINEST(L98:L101,K98:K101),2)</f>
        <v>-14.952102490909681</v>
      </c>
      <c r="O98"/>
    </row>
    <row r="99" spans="2:15" s="2" customFormat="1" ht="12.75">
      <c r="B99" s="73"/>
      <c r="D99" s="34">
        <v>0.375</v>
      </c>
      <c r="E99" s="34">
        <v>200</v>
      </c>
      <c r="F99" s="63">
        <f>E99/(100000*D99*mu_0)</f>
        <v>4246.284501061571</v>
      </c>
      <c r="G99" s="63">
        <f>pi2*f_spec*E99*E99/(1000000*F99*mu_0*TAN(H99*pi2/360)*m_Fe)</f>
        <v>0.08417788760689929</v>
      </c>
      <c r="H99" s="2">
        <v>75</v>
      </c>
      <c r="J99" s="63">
        <f>EXP(M98*LN(E99)+N98)</f>
        <v>0.25521449999307816</v>
      </c>
      <c r="K99" s="2">
        <f>LN(E99)</f>
        <v>5.298317366548036</v>
      </c>
      <c r="L99" s="67">
        <f>LN(G99)</f>
        <v>-2.474823009719127</v>
      </c>
      <c r="O99"/>
    </row>
    <row r="100" spans="2:15" s="2" customFormat="1" ht="12.75">
      <c r="B100" s="73"/>
      <c r="D100" s="34">
        <v>1</v>
      </c>
      <c r="E100" s="34">
        <v>300</v>
      </c>
      <c r="F100" s="63">
        <f>E100/(100000*D100*mu_0)</f>
        <v>2388.535031847134</v>
      </c>
      <c r="G100" s="63">
        <f>pi2*f_spec*E100*E100/(1000000*F100*mu_0*TAN(H100*pi2/360)*m_Fe)</f>
        <v>0.5859767969560967</v>
      </c>
      <c r="H100" s="2">
        <v>65</v>
      </c>
      <c r="J100" s="63">
        <f>EXP(M98*LN(E100)+N98)</f>
        <v>0.7218639854870608</v>
      </c>
      <c r="K100" s="2">
        <f>LN(E100)</f>
        <v>5.703782474656201</v>
      </c>
      <c r="L100" s="67">
        <f>LN(G100)</f>
        <v>-0.5344750858271126</v>
      </c>
      <c r="O100"/>
    </row>
    <row r="101" spans="2:15" s="2" customFormat="1" ht="12.75">
      <c r="B101" s="73"/>
      <c r="D101" s="34">
        <v>4</v>
      </c>
      <c r="E101" s="34">
        <v>387</v>
      </c>
      <c r="F101" s="63">
        <f>E101/(100000*D101*mu_0)</f>
        <v>770.3025477707007</v>
      </c>
      <c r="G101" s="63">
        <f>pi2*f_spec*E101*E101/(1000000*F101*mu_0*TAN(H101*pi2/360)*m_Fe)</f>
        <v>4.540307720378452</v>
      </c>
      <c r="H101" s="2">
        <v>55</v>
      </c>
      <c r="J101" s="63">
        <f>EXP(M98*LN(E101)+N98)</f>
        <v>1.3868838010984337</v>
      </c>
      <c r="K101" s="2">
        <f>LN(E101)</f>
        <v>5.958424693029782</v>
      </c>
      <c r="L101" s="67">
        <f>LN(G101)</f>
        <v>1.5129947895753508</v>
      </c>
      <c r="O101"/>
    </row>
    <row r="102" spans="2:18" ht="12.75">
      <c r="B102" s="76" t="s">
        <v>124</v>
      </c>
      <c r="D102">
        <v>0.002</v>
      </c>
      <c r="E102">
        <v>1</v>
      </c>
      <c r="F102" s="63">
        <f>E102/(100000*D102*mu_0)</f>
        <v>3980.8917197452233</v>
      </c>
      <c r="G102" s="63">
        <f>pi2*f_spec*E102*E102/(1000000*F102*mu_0*TAN(H102*pi2/360)*m_Fe)</f>
        <v>3.6574394043585953E-07</v>
      </c>
      <c r="H102">
        <v>87.5</v>
      </c>
      <c r="J102" s="63">
        <f>EXP(M102*LN(E102)+N102)</f>
        <v>3.2025010173259686E-07</v>
      </c>
      <c r="K102" s="2">
        <f>LN(E102)</f>
        <v>0</v>
      </c>
      <c r="L102" s="67">
        <f>LN(G102)</f>
        <v>-14.821332364686196</v>
      </c>
      <c r="M102" s="67">
        <f>INDEX(LINEST(L102:L105,K102:K105),1)</f>
        <v>2.563368609669019</v>
      </c>
      <c r="N102" s="67">
        <f>INDEX(LINEST(L102:L105,K102:K105),2)</f>
        <v>-14.95416357850343</v>
      </c>
      <c r="P102" s="23">
        <v>38</v>
      </c>
      <c r="Q102" s="23">
        <v>63</v>
      </c>
      <c r="R102" s="23">
        <v>25</v>
      </c>
    </row>
    <row r="103" spans="3:12" ht="12.75">
      <c r="C103">
        <v>4850</v>
      </c>
      <c r="D103">
        <v>0.44</v>
      </c>
      <c r="E103">
        <v>200</v>
      </c>
      <c r="F103" s="63">
        <f>E103/(100000*D103*mu_0)</f>
        <v>3618.9924724956577</v>
      </c>
      <c r="G103" s="63">
        <f>pi2*f_spec*E103*E103/(1000000*F103*mu_0*TAN(H103*pi2/360)*m_Fe)</f>
        <v>0.09876872145876184</v>
      </c>
      <c r="H103" s="2">
        <v>75</v>
      </c>
      <c r="J103" s="63">
        <f>EXP(M102*LN(E103)+N102)</f>
        <v>0.2534412705805527</v>
      </c>
      <c r="K103" s="2">
        <f>LN(E103)</f>
        <v>5.298317366548036</v>
      </c>
      <c r="L103" s="67">
        <f>LN(G103)</f>
        <v>-2.3149743087772308</v>
      </c>
    </row>
    <row r="104" spans="3:12" ht="12.75">
      <c r="C104">
        <v>0.93</v>
      </c>
      <c r="D104">
        <v>1</v>
      </c>
      <c r="E104">
        <v>300</v>
      </c>
      <c r="F104" s="63">
        <f>E104/(100000*D104*mu_0)</f>
        <v>2388.535031847134</v>
      </c>
      <c r="G104" s="63">
        <f>pi2*f_spec*E104*E104/(1000000*F104*mu_0*TAN(H104*pi2/360)*m_Fe)</f>
        <v>0.5859767969560967</v>
      </c>
      <c r="H104" s="2">
        <v>65</v>
      </c>
      <c r="J104" s="63">
        <f>EXP(M102*LN(E104)+N102)</f>
        <v>0.7165791096386525</v>
      </c>
      <c r="K104" s="2">
        <f>LN(E104)</f>
        <v>5.703782474656201</v>
      </c>
      <c r="L104" s="67">
        <f>LN(G104)</f>
        <v>-0.5344750858271126</v>
      </c>
    </row>
    <row r="105" spans="4:12" ht="12.75">
      <c r="D105">
        <v>4</v>
      </c>
      <c r="E105">
        <v>435</v>
      </c>
      <c r="F105" s="63">
        <f>E105/(100000*D105*mu_0)</f>
        <v>865.8439490445861</v>
      </c>
      <c r="G105" s="63">
        <f>pi2*f_spec*E105*E105/(1000000*F105*mu_0*TAN(H105*pi2/360)*m_Fe)</f>
        <v>5.103446662440896</v>
      </c>
      <c r="H105" s="2">
        <v>55</v>
      </c>
      <c r="J105" s="63">
        <f>EXP(M102*LN(E105)+N102)</f>
        <v>1.8574187043105341</v>
      </c>
      <c r="K105" s="2">
        <f>LN(E105)</f>
        <v>6.075346031088684</v>
      </c>
      <c r="L105" s="67">
        <f>LN(G105)</f>
        <v>1.629916127634253</v>
      </c>
    </row>
    <row r="106" spans="2:18" ht="12.75">
      <c r="B106" s="76" t="s">
        <v>146</v>
      </c>
      <c r="D106" s="2">
        <v>0.024</v>
      </c>
      <c r="E106" s="108">
        <v>84.6</v>
      </c>
      <c r="F106" s="63">
        <f>E106/(100000*D106*mu_0)</f>
        <v>28065.28662420382</v>
      </c>
      <c r="G106" s="63">
        <f>pi2*f_spec*E106*E106/(1000000*F106*mu_0*TAN(H106*pi2/360)*m_Fe)</f>
        <v>0.005889070925628967</v>
      </c>
      <c r="H106">
        <v>55.3</v>
      </c>
      <c r="J106" s="63">
        <f>EXP(M106*LN(E106)+N106)</f>
        <v>0.0056018281159432295</v>
      </c>
      <c r="K106" s="2">
        <f>LN(E106)</f>
        <v>4.437934266612178</v>
      </c>
      <c r="L106" s="67">
        <f>LN(G106)</f>
        <v>-5.134657031344739</v>
      </c>
      <c r="M106" s="67">
        <f>INDEX(LINEST(L106:L109,K106:K109),1)</f>
        <v>2.186721505229886</v>
      </c>
      <c r="N106" s="67">
        <f>INDEX(LINEST(L106:L109,K106:K109),2)</f>
        <v>-14.8891885848359</v>
      </c>
      <c r="P106" s="22">
        <v>41</v>
      </c>
      <c r="Q106" s="22">
        <v>69</v>
      </c>
      <c r="R106" s="22">
        <v>19</v>
      </c>
    </row>
    <row r="107" spans="3:12" ht="12.75">
      <c r="C107">
        <v>7600</v>
      </c>
      <c r="D107" s="2">
        <v>0.07709435471044207</v>
      </c>
      <c r="E107" s="108">
        <v>338.4639890341532</v>
      </c>
      <c r="F107" s="63">
        <f>E107/(100000*D107*mu_0)</f>
        <v>34954.2712028304</v>
      </c>
      <c r="G107" s="63">
        <f>pi2*f_spec*E107*E107/(1000000*F107*mu_0*TAN(H107*pi2/360)*m_Fe)</f>
        <v>0.10816208760815094</v>
      </c>
      <c r="H107">
        <v>45.3</v>
      </c>
      <c r="J107" s="63">
        <f>EXP(M106*LN(E107)+N106)</f>
        <v>0.1161573967799318</v>
      </c>
      <c r="K107" s="2">
        <f>LN(E107)</f>
        <v>5.824417702746785</v>
      </c>
      <c r="L107" s="67">
        <f>LN(G107)</f>
        <v>-2.224124365762884</v>
      </c>
    </row>
    <row r="108" spans="3:12" ht="12.75">
      <c r="C108">
        <v>0.93</v>
      </c>
      <c r="D108" s="2">
        <v>0.19115175619986322</v>
      </c>
      <c r="E108" s="108">
        <v>1100.007964360998</v>
      </c>
      <c r="F108" s="63">
        <f>E108/(100000*D108*mu_0)</f>
        <v>45817.13172857188</v>
      </c>
      <c r="G108" s="63">
        <f>pi2*f_spec*E108*E108/(1000000*F108*mu_0*TAN(H108*pi2/360)*m_Fe)</f>
        <v>1.409526549307885</v>
      </c>
      <c r="H108">
        <v>32</v>
      </c>
      <c r="J108" s="63">
        <f>EXP(M106*LN(E108)+N106)</f>
        <v>1.5289497915256625</v>
      </c>
      <c r="K108" s="2">
        <f>LN(E108)</f>
        <v>7.003072699088431</v>
      </c>
      <c r="L108" s="67">
        <f>LN(G108)</f>
        <v>0.3432538673704318</v>
      </c>
    </row>
    <row r="109" spans="4:12" ht="12.75">
      <c r="D109" s="2">
        <v>0.33425155158705366</v>
      </c>
      <c r="E109" s="108">
        <v>1692.319945170766</v>
      </c>
      <c r="F109" s="63">
        <f>E109/(100000*D109*mu_0)</f>
        <v>40310.61291953584</v>
      </c>
      <c r="G109" s="63">
        <f>pi2*f_spec*E109*E109/(1000000*F109*mu_0*TAN(H109*pi2/360)*m_Fe)</f>
        <v>4.345846451882447</v>
      </c>
      <c r="H109">
        <v>28.6</v>
      </c>
      <c r="J109" s="63">
        <f>EXP(M106*LN(E109)+N106)</f>
        <v>3.9219279452069933</v>
      </c>
      <c r="K109" s="2">
        <f>LN(E109)</f>
        <v>7.433855615180885</v>
      </c>
      <c r="L109" s="67">
        <f>LN(G109)</f>
        <v>1.469220550304069</v>
      </c>
    </row>
    <row r="110" spans="2:14" s="87" customFormat="1" ht="12.75">
      <c r="B110" s="86" t="s">
        <v>102</v>
      </c>
      <c r="C110" s="87" t="s">
        <v>131</v>
      </c>
      <c r="D110" s="87" t="s">
        <v>35</v>
      </c>
      <c r="E110" s="87" t="s">
        <v>22</v>
      </c>
      <c r="F110" s="85" t="s">
        <v>104</v>
      </c>
      <c r="G110" s="87" t="s">
        <v>105</v>
      </c>
      <c r="H110" s="87" t="s">
        <v>33</v>
      </c>
      <c r="I110" s="87" t="s">
        <v>106</v>
      </c>
      <c r="J110" s="87" t="s">
        <v>107</v>
      </c>
      <c r="L110" s="87" t="s">
        <v>108</v>
      </c>
      <c r="M110" s="87" t="s">
        <v>109</v>
      </c>
      <c r="N110" s="87" t="s">
        <v>110</v>
      </c>
    </row>
    <row r="111" spans="2:8" s="88" customFormat="1" ht="12.75">
      <c r="B111" s="89"/>
      <c r="C111" s="88" t="s">
        <v>132</v>
      </c>
      <c r="D111" s="88" t="s">
        <v>45</v>
      </c>
      <c r="E111" s="88" t="s">
        <v>39</v>
      </c>
      <c r="H111" s="88" t="s">
        <v>42</v>
      </c>
    </row>
    <row r="112" spans="2:18" ht="12.75">
      <c r="B112" s="76" t="s">
        <v>127</v>
      </c>
      <c r="C112" s="2"/>
      <c r="D112" s="63">
        <v>0.0018995868141978196</v>
      </c>
      <c r="E112" s="109">
        <v>0.8841941282883075</v>
      </c>
      <c r="F112" s="63">
        <f>E112/(100000*D112*mu_0)</f>
        <v>3705.9439006863045</v>
      </c>
      <c r="G112" s="63">
        <f>pi2*f_spec*E112*E112/(1000000*F112*mu_0*TAN(H112*pi2/360)*m_Fe)</f>
        <v>2.8162110910355624E-07</v>
      </c>
      <c r="H112" s="113">
        <v>87.70755722404344</v>
      </c>
      <c r="I112" s="2"/>
      <c r="J112" s="63">
        <f>EXP(M112*LN(E112)+N112)</f>
        <v>1.4961351030109025E-07</v>
      </c>
      <c r="K112" s="2">
        <f>LN(E112)</f>
        <v>-0.12307863831741876</v>
      </c>
      <c r="L112" s="67">
        <f>LN(G112)</f>
        <v>-15.08270325416674</v>
      </c>
      <c r="M112" s="67">
        <f>INDEX(LINEST(L112:L115,K112:K115),1)</f>
        <v>2.117589684125639</v>
      </c>
      <c r="N112" s="67">
        <f>INDEX(LINEST(L112:L115,K112:K115),2)</f>
        <v>-15.454580411147228</v>
      </c>
      <c r="P112" s="22">
        <v>25</v>
      </c>
      <c r="Q112" s="22">
        <f>P112+12</f>
        <v>37</v>
      </c>
      <c r="R112" s="22">
        <v>15</v>
      </c>
    </row>
    <row r="113" spans="2:20" ht="12.75">
      <c r="B113" s="76" t="s">
        <v>130</v>
      </c>
      <c r="C113">
        <v>4800</v>
      </c>
      <c r="D113" s="63">
        <v>0.017455662616952937</v>
      </c>
      <c r="E113" s="109">
        <v>8.48826363156775</v>
      </c>
      <c r="F113" s="63">
        <f>E113/(100000*D113*mu_0)</f>
        <v>3871.6213927169856</v>
      </c>
      <c r="G113" s="63">
        <f>pi2*f_spec*E113*E113/(1000000*F113*mu_0*TAN(H113*pi2/360)*m_Fe)</f>
        <v>3.990946900844527E-06</v>
      </c>
      <c r="H113" s="113">
        <v>89.63136652239069</v>
      </c>
      <c r="J113" s="63">
        <f>EXP(M112*LN(E113)+N112)</f>
        <v>1.798946479253651E-05</v>
      </c>
      <c r="K113" s="2">
        <f>LN(E113)</f>
        <v>2.1386844601563717</v>
      </c>
      <c r="L113" s="67">
        <f>LN(G113)</f>
        <v>-12.431482036710685</v>
      </c>
      <c r="O113" s="2"/>
      <c r="P113" s="113"/>
      <c r="Q113" s="2"/>
      <c r="R113" s="108"/>
      <c r="S113" s="108"/>
      <c r="T113" s="108"/>
    </row>
    <row r="114" spans="3:20" ht="12.75">
      <c r="C114" s="112">
        <v>1</v>
      </c>
      <c r="D114" s="63">
        <v>0.05750100626760968</v>
      </c>
      <c r="E114" s="109">
        <v>30.23943918746012</v>
      </c>
      <c r="F114" s="63">
        <f>E114/(100000*D114*mu_0)</f>
        <v>4187.054832078973</v>
      </c>
      <c r="G114" s="63">
        <f>pi2*f_spec*E114*E114/(1000000*F114*mu_0*TAN(H114*pi2/360)*m_Fe)</f>
        <v>0.0003609395279405238</v>
      </c>
      <c r="H114" s="113">
        <v>87.16277131340956</v>
      </c>
      <c r="I114" s="2"/>
      <c r="J114" s="63">
        <f>EXP(M112*LN(E114)+N112)</f>
        <v>0.00026509935436789324</v>
      </c>
      <c r="K114" s="2">
        <f>LN(E114)</f>
        <v>3.409147005751141</v>
      </c>
      <c r="L114" s="67">
        <f>LN(G114)</f>
        <v>-7.926800126293329</v>
      </c>
      <c r="O114" s="2"/>
      <c r="P114" s="113"/>
      <c r="Q114" s="2"/>
      <c r="R114" s="108"/>
      <c r="S114" s="108"/>
      <c r="T114" s="108"/>
    </row>
    <row r="115" spans="3:20" ht="12.75">
      <c r="C115" s="112"/>
      <c r="D115" s="63">
        <v>0.09549274255156608</v>
      </c>
      <c r="E115" s="109">
        <v>53.405325348613765</v>
      </c>
      <c r="F115" s="63">
        <f>E115/(100000*D115*mu_0)</f>
        <v>4452.711521104166</v>
      </c>
      <c r="G115" s="63">
        <f>pi2*f_spec*E115*E115/(1000000*F115*mu_0*TAN(H115*pi2/360)*m_Fe)</f>
        <v>0.0015548854023804816</v>
      </c>
      <c r="H115" s="113">
        <v>85.83675278608726</v>
      </c>
      <c r="I115" s="34"/>
      <c r="J115" s="63">
        <f>EXP(M112*LN(E115)+N112)</f>
        <v>0.0008840488447153398</v>
      </c>
      <c r="K115" s="2">
        <f>LN(E115)</f>
        <v>3.9779104666233502</v>
      </c>
      <c r="L115" s="67">
        <f>LN(G115)</f>
        <v>-6.466353432284979</v>
      </c>
      <c r="O115" s="2"/>
      <c r="P115" s="113"/>
      <c r="Q115" s="2"/>
      <c r="R115" s="108"/>
      <c r="S115" s="108"/>
      <c r="T115" s="108"/>
    </row>
    <row r="116" spans="2:20" ht="12.75">
      <c r="B116" s="76" t="s">
        <v>127</v>
      </c>
      <c r="C116" s="2"/>
      <c r="D116" s="63">
        <v>0.003113541030309712</v>
      </c>
      <c r="E116" s="109">
        <v>0.1466050909484484</v>
      </c>
      <c r="F116" s="63">
        <f>E116/(100000*D116*mu_0)</f>
        <v>374.89083133818184</v>
      </c>
      <c r="G116" s="63">
        <f>pi2*f_spec*E116*E116/(1000000*F116*mu_0*TAN(H116*pi2/360)*m_Fe)</f>
        <v>5.280401366403959E-08</v>
      </c>
      <c r="H116" s="113">
        <v>88.41786811727067</v>
      </c>
      <c r="I116" s="34"/>
      <c r="J116" s="63">
        <f>EXP(M116*LN(E116)+N116)</f>
        <v>4.87667527754242E-08</v>
      </c>
      <c r="K116" s="2">
        <f>LN(E116)</f>
        <v>-1.9200127633354913</v>
      </c>
      <c r="L116" s="67">
        <f>LN(G116)</f>
        <v>-16.756678632758906</v>
      </c>
      <c r="M116" s="67">
        <f>INDEX(LINEST(L116:L119,K116:K119),1)</f>
        <v>2.2518451191954973</v>
      </c>
      <c r="N116" s="67">
        <f>INDEX(LINEST(L116:L119,K116:K119),2)</f>
        <v>-12.512645681950097</v>
      </c>
      <c r="O116" s="2"/>
      <c r="P116" s="22">
        <v>25</v>
      </c>
      <c r="Q116" s="22">
        <f>P116+12</f>
        <v>37</v>
      </c>
      <c r="R116" s="22">
        <v>15</v>
      </c>
      <c r="S116" s="108"/>
      <c r="T116" s="108"/>
    </row>
    <row r="117" spans="2:19" ht="12.75">
      <c r="B117" s="76" t="s">
        <v>128</v>
      </c>
      <c r="C117">
        <v>4800</v>
      </c>
      <c r="D117" s="63">
        <v>0.020006157258585802</v>
      </c>
      <c r="E117" s="109">
        <v>0.924125476017457</v>
      </c>
      <c r="F117" s="63">
        <f>E117/(100000*D117*mu_0)</f>
        <v>367.77112245328397</v>
      </c>
      <c r="G117" s="63">
        <f>pi2*f_spec*E117*E117/(1000000*F117*mu_0*TAN(H117*pi2/360)*m_Fe)</f>
        <v>2.502059092433717E-06</v>
      </c>
      <c r="H117" s="113">
        <v>88.14931168384582</v>
      </c>
      <c r="I117" s="113"/>
      <c r="J117" s="63">
        <f>EXP(M116*LN(E117)+N116)</f>
        <v>3.0807639052218045E-06</v>
      </c>
      <c r="K117" s="2">
        <f>LN(E117)</f>
        <v>-0.07890742000428115</v>
      </c>
      <c r="L117" s="67">
        <f>LN(G117)</f>
        <v>-12.898396528119434</v>
      </c>
      <c r="S117" s="108"/>
    </row>
    <row r="118" spans="3:19" ht="12.75">
      <c r="C118" s="112">
        <v>1</v>
      </c>
      <c r="D118" s="63">
        <v>0.06558309829801305</v>
      </c>
      <c r="E118" s="109">
        <v>3.0091122753037562</v>
      </c>
      <c r="F118" s="63">
        <f>E118/(100000*D118*mu_0)</f>
        <v>365.30601485484726</v>
      </c>
      <c r="G118" s="63">
        <f>pi2*f_spec*E118*E118/(1000000*F118*mu_0*TAN(H118*pi2/360)*m_Fe)</f>
        <v>5.0338360184241677E-05</v>
      </c>
      <c r="H118" s="113">
        <v>86.51509445135925</v>
      </c>
      <c r="I118" s="113"/>
      <c r="J118" s="63">
        <f>EXP(M116*LN(E118)+N116)</f>
        <v>4.397402155329882E-05</v>
      </c>
      <c r="K118" s="2">
        <f>LN(E118)</f>
        <v>1.1016451101135563</v>
      </c>
      <c r="L118" s="67">
        <f>LN(G118)</f>
        <v>-9.896743143594158</v>
      </c>
      <c r="O118" s="2"/>
      <c r="P118" s="2"/>
      <c r="Q118" s="113"/>
      <c r="R118" s="2"/>
      <c r="S118" s="108"/>
    </row>
    <row r="119" spans="2:20" ht="12.75">
      <c r="B119" s="73" t="s">
        <v>129</v>
      </c>
      <c r="C119" s="2"/>
      <c r="D119" s="63">
        <v>0.14839004059348412</v>
      </c>
      <c r="E119" s="109">
        <v>6.674239549014966</v>
      </c>
      <c r="F119" s="63">
        <f>E119/(100000*D119*mu_0)</f>
        <v>358.1025363967243</v>
      </c>
      <c r="G119" s="63">
        <f>pi2*f_spec*E119*E119/(1000000*F119*mu_0*TAN(H119*pi2/360)*m_Fe)</f>
        <v>0.000262643739419618</v>
      </c>
      <c r="H119" s="113">
        <v>86.37724886759044</v>
      </c>
      <c r="I119" s="113"/>
      <c r="J119" s="63">
        <f>EXP(M116*LN(E119)+N116)</f>
        <v>0.00026439435208687576</v>
      </c>
      <c r="K119" s="2">
        <f>LN(E119)</f>
        <v>1.8982552725551365</v>
      </c>
      <c r="L119" s="67">
        <f>LN(G119)</f>
        <v>-8.244712047057726</v>
      </c>
      <c r="O119" s="73"/>
      <c r="P119" s="34"/>
      <c r="Q119" s="34"/>
      <c r="R119" s="34"/>
      <c r="S119" s="34"/>
      <c r="T119" s="34"/>
    </row>
    <row r="120" spans="2:22" ht="12.75">
      <c r="B120" s="106" t="s">
        <v>120</v>
      </c>
      <c r="D120" s="93">
        <v>0.04</v>
      </c>
      <c r="E120" s="93">
        <v>22</v>
      </c>
      <c r="F120" s="63">
        <f>E120/(100000*D120*mu_0)</f>
        <v>4378.980891719745</v>
      </c>
      <c r="G120" s="93">
        <v>0.4</v>
      </c>
      <c r="H120" s="63">
        <f>(360/pi2)*ATAN(pi2*f*E120*E120/(J120*m_Fe*1000000*F120*mu_0))</f>
        <v>76.90626826693602</v>
      </c>
      <c r="I120" s="9" t="s">
        <v>121</v>
      </c>
      <c r="J120" s="63">
        <f>EXP(M120*LN(E120)+N120)</f>
        <v>0.42867764229982197</v>
      </c>
      <c r="K120" s="67">
        <f>LN(E120)</f>
        <v>3.091042453358316</v>
      </c>
      <c r="L120" s="67">
        <f>LN(G120)</f>
        <v>-0.916290731874155</v>
      </c>
      <c r="M120" s="67">
        <f>INDEX(LINEST(L120:L123,K120:K123),1)</f>
        <v>2.0372904316071927</v>
      </c>
      <c r="N120" s="67">
        <f>INDEX(LINEST(L120:L123,K120:K123),2)</f>
        <v>-7.14440127297809</v>
      </c>
      <c r="O120" s="34"/>
      <c r="P120" s="34"/>
      <c r="Q120" s="34"/>
      <c r="R120" s="108"/>
      <c r="S120" s="108"/>
      <c r="T120" s="108"/>
      <c r="V120" s="2">
        <f>(H116+N116+M116)/2</f>
        <v>39.07853377725804</v>
      </c>
    </row>
    <row r="121" spans="3:22" ht="12.75">
      <c r="C121">
        <v>4800</v>
      </c>
      <c r="D121" s="93">
        <v>0.2</v>
      </c>
      <c r="E121" s="93">
        <v>140</v>
      </c>
      <c r="F121" s="63">
        <f>E121/(100000*D121*mu_0)</f>
        <v>5573.248407643312</v>
      </c>
      <c r="G121" s="93">
        <v>23</v>
      </c>
      <c r="H121" s="63">
        <f>(360/pi2)*ATAN(pi2*f*E121*E121/(J121*m_Fe*1000000*F121*mu_0))</f>
        <v>72.40227772708319</v>
      </c>
      <c r="J121" s="63">
        <f>EXP(M120*LN(E121)+N120)</f>
        <v>18.599962247783417</v>
      </c>
      <c r="K121" s="67">
        <f>LN(E121)</f>
        <v>4.941642422609304</v>
      </c>
      <c r="L121" s="67">
        <f>LN(G121)</f>
        <v>3.1354942159291497</v>
      </c>
      <c r="O121" s="108"/>
      <c r="P121" s="108"/>
      <c r="Q121" s="108"/>
      <c r="R121" s="108"/>
      <c r="S121" s="108"/>
      <c r="T121" s="108"/>
      <c r="V121" s="2">
        <f>(H117+N117+M117)/2</f>
        <v>44.07465584192291</v>
      </c>
    </row>
    <row r="122" spans="3:22" ht="12.75">
      <c r="C122" s="67">
        <f>Test_dat!$F$8</f>
        <v>0.93</v>
      </c>
      <c r="D122" s="93">
        <v>0.4</v>
      </c>
      <c r="E122" s="93">
        <v>290</v>
      </c>
      <c r="F122" s="63">
        <f>E122/(100000*D122*mu_0)</f>
        <v>5772.292993630574</v>
      </c>
      <c r="G122" s="93">
        <v>80</v>
      </c>
      <c r="H122" s="63">
        <f>(360/pi2)*ATAN(pi2*f*E122*E122/(J122*m_Fe*1000000*F122*mu_0))</f>
        <v>71.34811838191524</v>
      </c>
      <c r="J122" s="63">
        <f>EXP(M120*LN(E122)+N120)</f>
        <v>82.00603808713521</v>
      </c>
      <c r="K122" s="67">
        <f>LN(E122)</f>
        <v>5.66988092298052</v>
      </c>
      <c r="L122" s="67">
        <f>LN(G122)</f>
        <v>4.382026634673881</v>
      </c>
      <c r="O122" s="108"/>
      <c r="P122" s="108"/>
      <c r="Q122" s="108"/>
      <c r="R122" s="108"/>
      <c r="S122" s="108"/>
      <c r="T122" s="108"/>
      <c r="V122" s="2">
        <f>(H118+N118+M118)/2</f>
        <v>43.25754722567962</v>
      </c>
    </row>
    <row r="123" spans="4:22" ht="12.75">
      <c r="D123" s="93">
        <v>0.6</v>
      </c>
      <c r="E123" s="93">
        <v>355</v>
      </c>
      <c r="F123" s="63">
        <f>E123/(100000*D123*mu_0)</f>
        <v>4710.721868365181</v>
      </c>
      <c r="G123" s="93">
        <v>110</v>
      </c>
      <c r="H123" s="63">
        <f>(360/pi2)*ATAN(pi2*f*E123*E123/(J123*m_Fe*1000000*F123*mu_0))</f>
        <v>74.48778688752279</v>
      </c>
      <c r="J123" s="63">
        <f>EXP(M120*LN(E123)+N120)</f>
        <v>123.81742639083488</v>
      </c>
      <c r="K123" s="67">
        <f>LN(E123)</f>
        <v>5.872117789475416</v>
      </c>
      <c r="L123" s="67">
        <f>LN(G123)</f>
        <v>4.700480365792417</v>
      </c>
      <c r="O123" s="108"/>
      <c r="P123" s="108"/>
      <c r="Q123" s="108"/>
      <c r="R123" s="108"/>
      <c r="S123" s="108"/>
      <c r="T123" s="108"/>
      <c r="V123" s="2">
        <f>(H119+N119+M119)/2</f>
        <v>43.18862443379522</v>
      </c>
    </row>
    <row r="124" spans="2:24" ht="12.75">
      <c r="B124" s="76" t="s">
        <v>125</v>
      </c>
      <c r="C124" s="108"/>
      <c r="D124" s="63">
        <v>0.008819228039220625</v>
      </c>
      <c r="E124" s="109">
        <v>3.930703195005648</v>
      </c>
      <c r="F124" s="63">
        <f>E124/(100000*D124*mu_0)</f>
        <v>3548.5427368894525</v>
      </c>
      <c r="G124" s="63">
        <f>pi2*f_spec*E124*E124/(1000000*F124*mu_0*TAN(H124*pi2/360)*m_Fe)</f>
        <v>1.4620704749463105E-06</v>
      </c>
      <c r="H124" s="110">
        <v>89.42291044901386</v>
      </c>
      <c r="I124" s="34"/>
      <c r="J124" s="63">
        <f>EXP(M124*LN(E124)+N124)</f>
        <v>1.0953109736583447E-06</v>
      </c>
      <c r="K124" s="67">
        <f>LN(E124)</f>
        <v>1.3688183399019842</v>
      </c>
      <c r="L124" s="67">
        <f>LN(G124)</f>
        <v>-13.435656993320846</v>
      </c>
      <c r="M124" s="67">
        <f>INDEX(LINEST(L124:L127,K124:K127),1)</f>
        <v>2.581576547328357</v>
      </c>
      <c r="N124" s="67">
        <f>INDEX(LINEST(L124:L127,K124:K127),2)</f>
        <v>-17.258181564649895</v>
      </c>
      <c r="O124" s="111"/>
      <c r="P124" s="22">
        <v>95</v>
      </c>
      <c r="Q124" s="22">
        <v>123</v>
      </c>
      <c r="R124" s="22">
        <v>29.5</v>
      </c>
      <c r="S124" s="108"/>
      <c r="T124" s="108"/>
      <c r="U124" s="50" t="s">
        <v>147</v>
      </c>
      <c r="V124" s="50" t="s">
        <v>106</v>
      </c>
      <c r="W124" s="50"/>
      <c r="X124" s="50"/>
    </row>
    <row r="125" spans="2:24" ht="12.75">
      <c r="B125" s="76" t="s">
        <v>126</v>
      </c>
      <c r="C125">
        <v>4800</v>
      </c>
      <c r="D125" s="63">
        <v>0.06366197723675815</v>
      </c>
      <c r="E125" s="109">
        <v>31.59977078337874</v>
      </c>
      <c r="F125" s="63">
        <f>E125/(100000*D125*mu_0)</f>
        <v>3951.9748307398095</v>
      </c>
      <c r="G125" s="63">
        <f>pi2*f_spec*E125*E125/(1000000*F125*mu_0*TAN(H125*pi2/360)*m_Fe)</f>
        <v>0.0002015908006005861</v>
      </c>
      <c r="H125" s="110">
        <v>88.62936282707234</v>
      </c>
      <c r="I125" s="108"/>
      <c r="J125" s="63">
        <f>EXP(M124*LN(E125)+N124)</f>
        <v>0.00023791172560502468</v>
      </c>
      <c r="K125" s="67">
        <f>LN(E125)</f>
        <v>3.453149866876012</v>
      </c>
      <c r="L125" s="67">
        <f>LN(G125)</f>
        <v>-8.509270654749766</v>
      </c>
      <c r="O125" s="108"/>
      <c r="P125" s="108"/>
      <c r="Q125" s="108"/>
      <c r="R125" s="108"/>
      <c r="S125" s="108"/>
      <c r="T125" s="108"/>
      <c r="U125" s="50" t="s">
        <v>44</v>
      </c>
      <c r="V125" s="34"/>
      <c r="W125" s="50"/>
      <c r="X125" s="50"/>
    </row>
    <row r="126" spans="2:24" ht="12.75">
      <c r="B126" s="76" t="s">
        <v>120</v>
      </c>
      <c r="C126" s="112">
        <v>1</v>
      </c>
      <c r="D126" s="63">
        <v>0.1950743155695158</v>
      </c>
      <c r="E126" s="109">
        <v>118.69182196683721</v>
      </c>
      <c r="F126" s="63">
        <f>E126/(100000*D126*mu_0)</f>
        <v>4844.30038767332</v>
      </c>
      <c r="G126" s="63">
        <f>pi2*f_spec*E126*E126/(1000000*F126*mu_0*TAN(H126*pi2/360)*m_Fe)</f>
        <v>0.0023005967508589746</v>
      </c>
      <c r="H126" s="110">
        <v>88.6409437625135</v>
      </c>
      <c r="I126" s="2"/>
      <c r="J126" s="63">
        <f>EXP(M124*LN(E126)+N124)</f>
        <v>0.007246746280596078</v>
      </c>
      <c r="K126" s="67">
        <f>LN(E126)</f>
        <v>4.776530402585333</v>
      </c>
      <c r="L126" s="67">
        <f>LN(G126)</f>
        <v>-6.074586732804946</v>
      </c>
      <c r="O126" s="2"/>
      <c r="P126" s="2"/>
      <c r="Q126" s="113"/>
      <c r="R126" s="2"/>
      <c r="S126" s="108"/>
      <c r="T126" s="108"/>
      <c r="U126" s="109">
        <f>I126*1000000/(H126*J126*2*PI()*X126)</f>
        <v>0</v>
      </c>
      <c r="W126" s="2">
        <f>(I126+O126+N126)/2</f>
        <v>0</v>
      </c>
      <c r="X126">
        <v>25000</v>
      </c>
    </row>
    <row r="127" spans="3:24" ht="12.75">
      <c r="C127" s="2"/>
      <c r="D127" s="63">
        <v>0.3708748215168938</v>
      </c>
      <c r="E127" s="109">
        <v>250.4859879170266</v>
      </c>
      <c r="F127" s="63">
        <f>E127/(100000*D127*mu_0)</f>
        <v>5377.326997463328</v>
      </c>
      <c r="G127" s="63">
        <f>pi2*f_spec*E127*E127/(1000000*F127*mu_0*TAN(H127*pi2/360)*m_Fe)</f>
        <v>0.1387799939425517</v>
      </c>
      <c r="H127" s="110">
        <v>70.371718031118</v>
      </c>
      <c r="I127" s="2"/>
      <c r="J127" s="63">
        <f>EXP(M124*LN(E127)+N124)</f>
        <v>0.049832197706341626</v>
      </c>
      <c r="K127" s="67">
        <f>LN(E127)</f>
        <v>5.523402982501442</v>
      </c>
      <c r="L127" s="67">
        <f>LN(G127)</f>
        <v>-1.974865377158583</v>
      </c>
      <c r="O127" s="2"/>
      <c r="P127" s="2"/>
      <c r="Q127" s="113"/>
      <c r="R127" s="2"/>
      <c r="S127" s="108"/>
      <c r="T127" s="108"/>
      <c r="U127" s="109">
        <f>I127*1000000/(H127*J127*2*PI()*X127)</f>
        <v>0</v>
      </c>
      <c r="W127" s="2">
        <f>(I127+O127+N127)/2</f>
        <v>0</v>
      </c>
      <c r="X127">
        <v>25000</v>
      </c>
    </row>
    <row r="128" spans="2:24" ht="12.75">
      <c r="B128" s="76" t="s">
        <v>148</v>
      </c>
      <c r="C128" s="113"/>
      <c r="D128" s="63">
        <v>0.0001</v>
      </c>
      <c r="E128" s="109">
        <v>12</v>
      </c>
      <c r="F128" s="63">
        <f>E128/(100000*D128*mu_0)</f>
        <v>955414.0127388536</v>
      </c>
      <c r="G128" s="63">
        <f>pi2*f_spec*E128*E128/(1000000*F128*mu_0*TAN(H128*pi2/360)*m_Fe)</f>
        <v>8.26721504381312E-06</v>
      </c>
      <c r="H128">
        <v>31.3</v>
      </c>
      <c r="J128" s="63">
        <f>EXP(M128*LN(E128)+N128)</f>
        <v>8.72702729972242E-06</v>
      </c>
      <c r="K128" s="2">
        <f>LN(E128)</f>
        <v>2.4849066497880004</v>
      </c>
      <c r="L128" s="67">
        <f>LN(G128)</f>
        <v>-11.703212859716443</v>
      </c>
      <c r="M128" s="67">
        <f>INDEX(LINEST(L128:L131,K128:K131),1)</f>
        <v>2.0907235260310366</v>
      </c>
      <c r="N128" s="67">
        <f>INDEX(LINEST(L128:L131,K128:K131),2)</f>
        <v>-16.84433855429978</v>
      </c>
      <c r="P128" s="23">
        <v>59</v>
      </c>
      <c r="Q128" s="23">
        <v>72</v>
      </c>
      <c r="R128" s="23">
        <v>16</v>
      </c>
      <c r="S128" s="108"/>
      <c r="T128" s="108"/>
      <c r="U128" s="109">
        <f>I128*1000000/(H128*J128*2*PI()*X128)</f>
        <v>0</v>
      </c>
      <c r="W128" s="2">
        <f>(I128+O128+N128)/2</f>
        <v>-8.42216927714989</v>
      </c>
      <c r="X128">
        <v>25000</v>
      </c>
    </row>
    <row r="129" spans="2:24" ht="12.75">
      <c r="B129" s="73"/>
      <c r="C129" s="2">
        <v>7500</v>
      </c>
      <c r="D129" s="63">
        <v>0.003415695899106345</v>
      </c>
      <c r="E129" s="109">
        <v>439.3360211506299</v>
      </c>
      <c r="F129" s="63">
        <f>E129/(100000*D129*mu_0)</f>
        <v>1024066.0646879809</v>
      </c>
      <c r="G129" s="63">
        <f>pi2*f_spec*E129*E129/(1000000*F129*mu_0*TAN(H129*pi2/360)*m_Fe)</f>
        <v>0.01571576432004773</v>
      </c>
      <c r="H129" s="2">
        <v>21.8</v>
      </c>
      <c r="I129" s="2"/>
      <c r="J129" s="63">
        <f>EXP(M128*LN(E129)+N128)</f>
        <v>0.016216390169225582</v>
      </c>
      <c r="K129" s="2">
        <f>LN(E129)</f>
        <v>6.085264544320917</v>
      </c>
      <c r="L129" s="67">
        <f>LN(G129)</f>
        <v>-4.153090973577565</v>
      </c>
      <c r="S129" s="108"/>
      <c r="T129" s="108"/>
      <c r="U129" s="109">
        <f>I129*1000000/(H129*J129*2*PI()*X129)</f>
        <v>0</v>
      </c>
      <c r="W129" s="2">
        <f>(I129+O129+N129)/2</f>
        <v>0</v>
      </c>
      <c r="X129">
        <v>25000</v>
      </c>
    </row>
    <row r="130" spans="2:12" ht="12.75">
      <c r="B130" s="73"/>
      <c r="C130" s="2">
        <v>0.93</v>
      </c>
      <c r="D130" s="63">
        <v>0.011477288031202406</v>
      </c>
      <c r="E130" s="109">
        <v>1523.6086644829727</v>
      </c>
      <c r="F130" s="63">
        <f>E130/(100000*D130*mu_0)</f>
        <v>1056925.8347587043</v>
      </c>
      <c r="G130" s="63">
        <f>pi2*f_spec*E130*E130/(1000000*F130*mu_0*TAN(H130*pi2/360)*m_Fe)</f>
        <v>0.38398435082051796</v>
      </c>
      <c r="H130" s="2">
        <v>10.8</v>
      </c>
      <c r="I130" s="2"/>
      <c r="J130" s="63">
        <f>EXP(M128*LN(E130)+N128)</f>
        <v>0.21832581140115884</v>
      </c>
      <c r="K130" s="2">
        <f>LN(E130)</f>
        <v>7.328836921437172</v>
      </c>
      <c r="L130" s="67">
        <f>LN(G130)</f>
        <v>-0.957153480296407</v>
      </c>
    </row>
    <row r="131" spans="2:12" ht="12.75">
      <c r="B131" s="73"/>
      <c r="C131" s="2"/>
      <c r="D131" s="63">
        <v>0.023504386267492353</v>
      </c>
      <c r="E131" s="109">
        <v>2856.766245905574</v>
      </c>
      <c r="F131" s="63">
        <f>E131/(100000*D131*mu_0)</f>
        <v>967689.7719556119</v>
      </c>
      <c r="G131" s="63">
        <f>pi2*f_spec*E131*E131/(1000000*F131*mu_0*TAN(H131*pi2/360)*m_Fe)</f>
        <v>0.5032602168833363</v>
      </c>
      <c r="H131" s="2">
        <v>29.2</v>
      </c>
      <c r="I131" s="2"/>
      <c r="J131" s="63">
        <f>EXP(M128*LN(E131)+N128)</f>
        <v>0.8125970942641939</v>
      </c>
      <c r="K131" s="2">
        <f>LN(E131)</f>
        <v>7.957445580859546</v>
      </c>
      <c r="L131" s="67">
        <f>LN(G131)</f>
        <v>-0.6866479128633745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3"/>
  <sheetViews>
    <sheetView workbookViewId="0" topLeftCell="A90">
      <selection activeCell="R105" sqref="R105"/>
    </sheetView>
  </sheetViews>
  <sheetFormatPr defaultColWidth="9.140625" defaultRowHeight="12.75"/>
  <cols>
    <col min="1" max="1" width="10.421875" style="0" customWidth="1"/>
    <col min="2" max="2" width="5.00390625" style="0" customWidth="1"/>
    <col min="3" max="3" width="4.8515625" style="0" customWidth="1"/>
    <col min="4" max="4" width="6.7109375" style="0" customWidth="1"/>
    <col min="5" max="5" width="4.140625" style="0" customWidth="1"/>
    <col min="6" max="6" width="5.28125" style="0" customWidth="1"/>
    <col min="7" max="7" width="5.421875" style="0" customWidth="1"/>
    <col min="8" max="8" width="6.421875" style="0" customWidth="1"/>
    <col min="9" max="9" width="6.7109375" style="0" customWidth="1"/>
    <col min="10" max="10" width="8.28125" style="0" customWidth="1"/>
    <col min="11" max="12" width="5.8515625" style="0" customWidth="1"/>
    <col min="13" max="14" width="6.00390625" style="0" customWidth="1"/>
    <col min="15" max="15" width="6.7109375" style="0" customWidth="1"/>
    <col min="16" max="16" width="7.8515625" style="0" customWidth="1"/>
    <col min="17" max="17" width="7.7109375" style="0" customWidth="1"/>
    <col min="18" max="18" width="6.7109375" style="0" customWidth="1"/>
    <col min="19" max="20" width="7.7109375" style="0" customWidth="1"/>
    <col min="21" max="21" width="12.8515625" style="0" customWidth="1"/>
  </cols>
  <sheetData>
    <row r="1" spans="1:10" ht="12.75">
      <c r="A1" s="55" t="s">
        <v>149</v>
      </c>
      <c r="I1" t="s">
        <v>150</v>
      </c>
      <c r="J1">
        <v>50</v>
      </c>
    </row>
    <row r="2" spans="2:21" s="50" customFormat="1" ht="12.75">
      <c r="B2" s="50" t="s">
        <v>151</v>
      </c>
      <c r="C2" s="50" t="s">
        <v>152</v>
      </c>
      <c r="D2" s="50" t="s">
        <v>153</v>
      </c>
      <c r="E2" s="50" t="s">
        <v>154</v>
      </c>
      <c r="F2" s="50" t="s">
        <v>155</v>
      </c>
      <c r="G2" s="50" t="s">
        <v>156</v>
      </c>
      <c r="H2" s="34" t="s">
        <v>20</v>
      </c>
      <c r="I2" s="50" t="s">
        <v>157</v>
      </c>
      <c r="J2" s="50" t="s">
        <v>158</v>
      </c>
      <c r="K2" s="50" t="s">
        <v>159</v>
      </c>
      <c r="L2" s="50" t="s">
        <v>160</v>
      </c>
      <c r="M2" s="25" t="s">
        <v>161</v>
      </c>
      <c r="N2" s="25" t="s">
        <v>162</v>
      </c>
      <c r="O2" s="25" t="s">
        <v>163</v>
      </c>
      <c r="P2" s="50" t="s">
        <v>33</v>
      </c>
      <c r="Q2" s="50" t="s">
        <v>35</v>
      </c>
      <c r="R2" s="50" t="s">
        <v>22</v>
      </c>
      <c r="S2" s="50" t="s">
        <v>32</v>
      </c>
      <c r="T2" s="50" t="s">
        <v>147</v>
      </c>
      <c r="U2" s="50" t="s">
        <v>106</v>
      </c>
    </row>
    <row r="3" spans="2:21" s="50" customFormat="1" ht="12.75">
      <c r="B3" s="50" t="s">
        <v>164</v>
      </c>
      <c r="C3" s="50" t="s">
        <v>164</v>
      </c>
      <c r="D3" s="50" t="s">
        <v>164</v>
      </c>
      <c r="E3" s="50" t="s">
        <v>164</v>
      </c>
      <c r="G3" s="34" t="s">
        <v>165</v>
      </c>
      <c r="H3" s="50" t="s">
        <v>37</v>
      </c>
      <c r="I3" s="50" t="s">
        <v>38</v>
      </c>
      <c r="J3" s="50" t="s">
        <v>166</v>
      </c>
      <c r="K3" s="50" t="s">
        <v>167</v>
      </c>
      <c r="L3" s="50" t="s">
        <v>168</v>
      </c>
      <c r="M3" s="50" t="s">
        <v>169</v>
      </c>
      <c r="N3" s="50" t="s">
        <v>169</v>
      </c>
      <c r="O3" s="50" t="s">
        <v>169</v>
      </c>
      <c r="P3" s="50" t="s">
        <v>42</v>
      </c>
      <c r="Q3" s="50" t="s">
        <v>45</v>
      </c>
      <c r="R3" s="50" t="s">
        <v>39</v>
      </c>
      <c r="T3" s="50" t="s">
        <v>44</v>
      </c>
      <c r="U3" s="34"/>
    </row>
    <row r="4" spans="1:22" ht="12.75">
      <c r="A4" s="76" t="s">
        <v>170</v>
      </c>
      <c r="B4" s="23">
        <v>0</v>
      </c>
      <c r="C4" s="23">
        <v>10</v>
      </c>
      <c r="D4" s="23">
        <v>199900</v>
      </c>
      <c r="E4" s="23">
        <v>2</v>
      </c>
      <c r="F4" s="110">
        <v>1</v>
      </c>
      <c r="G4" s="110">
        <v>1</v>
      </c>
      <c r="H4" s="117">
        <v>0.04</v>
      </c>
      <c r="I4" s="110">
        <v>0.0001</v>
      </c>
      <c r="J4" s="110">
        <v>0</v>
      </c>
      <c r="K4" s="118">
        <f>(C4-B4)*D4*F4/200</f>
        <v>9995</v>
      </c>
      <c r="L4" s="118">
        <f>(B4+C4)*pi2/40</f>
        <v>1.5708</v>
      </c>
      <c r="M4" s="110"/>
      <c r="N4" s="110"/>
      <c r="O4" s="110"/>
      <c r="P4" s="119">
        <v>89.99</v>
      </c>
      <c r="Q4" s="63">
        <f>sqrt2*I4/(((B4+C4)*pi2/40)*1000)</f>
        <v>9.003142108308475E-08</v>
      </c>
      <c r="R4" s="109">
        <f>1000*H4*sqrt2/(G4*pi2*f_test*((C4-B4)*D4/200)/10000)</f>
        <v>0.18015291862548224</v>
      </c>
      <c r="S4" s="109">
        <f>R4/(100000*Q4*mu_0)</f>
        <v>15931532.645303544</v>
      </c>
      <c r="T4" s="109">
        <f>H4*1000000/(G4*I4*pi2*f_test)</f>
        <v>1273236.5673542144</v>
      </c>
      <c r="U4" s="23"/>
      <c r="V4" s="22"/>
    </row>
    <row r="5" spans="1:22" ht="12.75">
      <c r="A5" s="76" t="s">
        <v>171</v>
      </c>
      <c r="B5" s="120">
        <v>34.5</v>
      </c>
      <c r="C5" s="120">
        <v>47.1</v>
      </c>
      <c r="D5" s="120">
        <v>20.6</v>
      </c>
      <c r="E5" s="120">
        <v>1.95</v>
      </c>
      <c r="F5" s="110">
        <v>0.93</v>
      </c>
      <c r="G5" s="110">
        <v>552</v>
      </c>
      <c r="H5" s="117">
        <v>0.04</v>
      </c>
      <c r="I5" s="110">
        <v>21.5</v>
      </c>
      <c r="J5" s="110">
        <v>0.00507</v>
      </c>
      <c r="K5" s="118">
        <f>(C5-B5)*D5*F5/200</f>
        <v>1.2069540000000003</v>
      </c>
      <c r="L5" s="118">
        <f>(B5+C5)*pi2/40</f>
        <v>12.817727999999999</v>
      </c>
      <c r="M5" s="110"/>
      <c r="N5" s="110"/>
      <c r="O5" s="110"/>
      <c r="P5" s="119">
        <v>50</v>
      </c>
      <c r="Q5" s="63">
        <f>sqrt2*I5/(((B5+C5)*pi2/40)*1000)</f>
        <v>0.002372151413341081</v>
      </c>
      <c r="R5" s="109">
        <f>1000*H5*sqrt2/(G5*pi2*f_test*((C5-B5)*D5/200)/10000)</f>
        <v>2.5134905303256994</v>
      </c>
      <c r="S5" s="109">
        <f>R5/(100000*Q5*mu_0)</f>
        <v>8436.167761937799</v>
      </c>
      <c r="T5" s="109">
        <f>H5*1000000/(G5*I5*pi2*f_test)</f>
        <v>0.010728316206220211</v>
      </c>
      <c r="U5" s="23"/>
      <c r="V5" s="22"/>
    </row>
    <row r="6" spans="1:22" ht="12.75">
      <c r="A6" s="76" t="s">
        <v>172</v>
      </c>
      <c r="B6" s="120">
        <v>61</v>
      </c>
      <c r="C6" s="120">
        <v>80</v>
      </c>
      <c r="D6" s="120">
        <v>11</v>
      </c>
      <c r="E6" s="120">
        <v>2</v>
      </c>
      <c r="F6" s="110">
        <v>0.93</v>
      </c>
      <c r="G6" s="110">
        <v>552</v>
      </c>
      <c r="H6" s="110">
        <v>0.04</v>
      </c>
      <c r="I6" s="110">
        <v>21.5</v>
      </c>
      <c r="J6" s="110">
        <v>0.00507</v>
      </c>
      <c r="K6" s="118">
        <f>(C6-B6)*D6*F6/200</f>
        <v>0.97185</v>
      </c>
      <c r="L6" s="118">
        <f>(B6+C6)*pi2/40</f>
        <v>22.14828</v>
      </c>
      <c r="M6" s="110"/>
      <c r="N6" s="110"/>
      <c r="O6" s="110"/>
      <c r="P6" s="119">
        <v>50</v>
      </c>
      <c r="Q6" s="63">
        <f>sqrt2*I6/(((B6+C6)*pi2/40)*1000)</f>
        <v>0.001372819541337817</v>
      </c>
      <c r="R6" s="109">
        <f>1000*H6*sqrt2/(G6*pi2*f_test*((C6-B6)*D6/200)/10000)</f>
        <v>3.1215387657958793</v>
      </c>
      <c r="S6" s="109">
        <f>R6/(100000*Q6*mu_0)</f>
        <v>18103.628993379374</v>
      </c>
      <c r="T6" s="109">
        <f>H6*1000000/(G6*I6*pi2*f_test)</f>
        <v>0.010728316206220211</v>
      </c>
      <c r="U6" s="23"/>
      <c r="V6" s="22"/>
    </row>
    <row r="7" spans="1:22" ht="12.75">
      <c r="A7" s="76" t="s">
        <v>173</v>
      </c>
      <c r="B7" s="23">
        <v>99</v>
      </c>
      <c r="C7" s="23">
        <v>120</v>
      </c>
      <c r="D7" s="23">
        <v>26</v>
      </c>
      <c r="E7" s="23">
        <v>2</v>
      </c>
      <c r="F7" s="110">
        <v>0.93</v>
      </c>
      <c r="G7" s="110">
        <v>345</v>
      </c>
      <c r="H7" s="110">
        <v>0.04</v>
      </c>
      <c r="I7" s="23">
        <v>45.4</v>
      </c>
      <c r="J7" s="110">
        <v>0.00667</v>
      </c>
      <c r="K7" s="118">
        <f>(C7-B7)*D7*F7/200</f>
        <v>2.5389</v>
      </c>
      <c r="L7" s="118">
        <f>(B7+C7)*pi2/40</f>
        <v>34.40052</v>
      </c>
      <c r="M7" s="110"/>
      <c r="N7" s="110"/>
      <c r="O7" s="110"/>
      <c r="P7" s="119">
        <v>50</v>
      </c>
      <c r="Q7" s="63">
        <f>sqrt2*I7/(((B7+C7)*pi2/40)*1000)</f>
        <v>0.0018664048023616655</v>
      </c>
      <c r="R7" s="109">
        <f>1000*H7*sqrt2/(G7*pi2*f_test*((C7-B7)*D7/200)/10000)</f>
        <v>1.9117995664508092</v>
      </c>
      <c r="S7" s="109">
        <f>R7/(100000*Q7*mu_0)</f>
        <v>8155.430219924782</v>
      </c>
      <c r="T7" s="109">
        <f>H7*1000000/(G7*I7*pi2*f_test)</f>
        <v>0.008128944438193286</v>
      </c>
      <c r="U7" s="23"/>
      <c r="V7" s="22"/>
    </row>
    <row r="8" spans="1:22" ht="12.75">
      <c r="A8" s="76" t="s">
        <v>174</v>
      </c>
      <c r="B8" s="23">
        <v>101.6</v>
      </c>
      <c r="C8" s="23">
        <v>117.5</v>
      </c>
      <c r="D8" s="23">
        <v>25.4</v>
      </c>
      <c r="E8" s="23">
        <v>1.5</v>
      </c>
      <c r="F8" s="110">
        <v>0.93</v>
      </c>
      <c r="G8" s="23">
        <v>128</v>
      </c>
      <c r="H8" s="110">
        <v>0.023</v>
      </c>
      <c r="I8" s="110">
        <v>20</v>
      </c>
      <c r="J8" s="110">
        <v>0.00117</v>
      </c>
      <c r="K8" s="118">
        <f>(C8-B8)*D8*F8/200</f>
        <v>1.8779490000000008</v>
      </c>
      <c r="L8" s="118">
        <f>(B8+C8)*pi2/40</f>
        <v>34.416228000000004</v>
      </c>
      <c r="M8" s="110"/>
      <c r="N8" s="110"/>
      <c r="O8" s="110"/>
      <c r="P8" s="119">
        <v>53</v>
      </c>
      <c r="Q8" s="63">
        <f>sqrt2*I8/(((B8+C8)*pi2/40)*1000)</f>
        <v>0.0008218294941404358</v>
      </c>
      <c r="R8" s="109">
        <f>1000*H8*sqrt2/(G8*pi2*f_test*((C8-B8)*D8/200)/10000)</f>
        <v>4.005724997738518</v>
      </c>
      <c r="S8" s="109">
        <f>R8/(100000*Q8*mu_0)</f>
        <v>38806.97295185849</v>
      </c>
      <c r="T8" s="109">
        <f>H8*1000000/(G8*I8*pi2*f_test)</f>
        <v>0.02859808696205755</v>
      </c>
      <c r="U8" s="23"/>
      <c r="V8" s="22"/>
    </row>
    <row r="9" spans="1:22" ht="12.75">
      <c r="A9" t="s">
        <v>174</v>
      </c>
      <c r="B9" s="23">
        <v>101.6</v>
      </c>
      <c r="C9" s="23">
        <v>117.5</v>
      </c>
      <c r="D9" s="23">
        <v>25.4</v>
      </c>
      <c r="E9" s="23">
        <v>1.5</v>
      </c>
      <c r="F9" s="110">
        <v>0.93</v>
      </c>
      <c r="G9" s="23">
        <v>128</v>
      </c>
      <c r="H9" s="110">
        <v>0.04</v>
      </c>
      <c r="I9" s="110">
        <v>30</v>
      </c>
      <c r="J9" s="110">
        <v>0.00117</v>
      </c>
      <c r="K9" s="118">
        <f>(C9-B9)*D9*F9/200</f>
        <v>1.8779490000000008</v>
      </c>
      <c r="L9" s="118">
        <f>(B9+C9)*pi2/40</f>
        <v>34.416228000000004</v>
      </c>
      <c r="M9" s="110"/>
      <c r="N9" s="110"/>
      <c r="O9" s="110"/>
      <c r="P9" s="119">
        <v>52</v>
      </c>
      <c r="Q9" s="63">
        <f>sqrt2*I9/(((B9+C9)*pi2/40)*1000)</f>
        <v>0.0012327442412106535</v>
      </c>
      <c r="R9" s="109">
        <f>1000*H9*sqrt2/(G9*pi2*f_test*((C9-B9)*D9/200)/10000)</f>
        <v>6.966478256936554</v>
      </c>
      <c r="S9" s="109">
        <f>R9/(100000*Q9*mu_0)</f>
        <v>44993.59182824175</v>
      </c>
      <c r="T9" s="109">
        <f>H9*1000000/(G9*I9*pi2*f_test)</f>
        <v>0.03315720227484933</v>
      </c>
      <c r="U9" s="23"/>
      <c r="V9" s="22"/>
    </row>
    <row r="10" spans="1:22" ht="12.75">
      <c r="A10" t="s">
        <v>174</v>
      </c>
      <c r="B10" s="23">
        <v>101.6</v>
      </c>
      <c r="C10" s="23">
        <v>117.5</v>
      </c>
      <c r="D10" s="23">
        <v>25.4</v>
      </c>
      <c r="E10" s="23">
        <v>1.5</v>
      </c>
      <c r="F10" s="110">
        <v>0.93</v>
      </c>
      <c r="G10" s="23">
        <v>220</v>
      </c>
      <c r="H10" s="110">
        <v>0.04</v>
      </c>
      <c r="I10" s="110">
        <v>12.4</v>
      </c>
      <c r="J10" s="110">
        <v>0.00864</v>
      </c>
      <c r="K10" s="118">
        <f>(C10-B10)*D10*F10/200</f>
        <v>1.8779490000000008</v>
      </c>
      <c r="L10" s="118">
        <f>(B10+C10)*pi2/40</f>
        <v>34.416228000000004</v>
      </c>
      <c r="M10" s="110">
        <v>0.245</v>
      </c>
      <c r="N10" s="110">
        <v>0.485</v>
      </c>
      <c r="O10" s="110">
        <v>0.45</v>
      </c>
      <c r="P10" s="118">
        <f>(360/pi2)*ACOS(((N10*N10-H10*H10-M10*M10)/(2*M10*H10)+(H10*H10+M10*M10-O10*O10)/(2*M10*H10))/2)</f>
        <v>33.40267319633291</v>
      </c>
      <c r="Q10" s="63">
        <f>sqrt2*I10/(((B10+C10)*pi2/40)*1000)</f>
        <v>0.0005095342863670701</v>
      </c>
      <c r="R10" s="109">
        <f>1000*H10*sqrt2/(G10*pi2*f_test*((C10-B10)*D10/200)/10000)</f>
        <v>4.053223713126723</v>
      </c>
      <c r="S10" s="109">
        <f>R10/(100000*Q10*mu_0)</f>
        <v>63334.08820397666</v>
      </c>
      <c r="T10" s="109">
        <f>H10*1000000/(G10*I10*pi2*f_test)</f>
        <v>0.04667289469773513</v>
      </c>
      <c r="U10" s="23"/>
      <c r="V10" s="22"/>
    </row>
    <row r="11" spans="1:22" ht="12.75">
      <c r="A11" t="s">
        <v>174</v>
      </c>
      <c r="B11" s="23">
        <v>101.6</v>
      </c>
      <c r="C11" s="23">
        <v>117.5</v>
      </c>
      <c r="D11" s="23">
        <v>25.4</v>
      </c>
      <c r="E11" s="23">
        <v>1.5</v>
      </c>
      <c r="F11" s="110">
        <v>0.93</v>
      </c>
      <c r="G11" s="23">
        <v>220</v>
      </c>
      <c r="H11" s="110">
        <v>0.2</v>
      </c>
      <c r="I11" s="110">
        <v>52.2</v>
      </c>
      <c r="J11" s="110">
        <v>0.00864</v>
      </c>
      <c r="K11" s="118">
        <f>(C11-B11)*D11*F11/200</f>
        <v>1.8779490000000008</v>
      </c>
      <c r="L11" s="118">
        <f>(B11+C11)*pi2/40</f>
        <v>34.416228000000004</v>
      </c>
      <c r="M11" s="110">
        <v>1.05</v>
      </c>
      <c r="N11" s="110">
        <v>1.12</v>
      </c>
      <c r="O11" s="110">
        <v>1.02</v>
      </c>
      <c r="P11" s="118">
        <f>(360/pi2)*ACOS(((N11*N11-H11*H11-M11*M11)/(2*M11*H11)+(H11*H11+M11*M11-O11*O11)/(2*M11*H11))/2)</f>
        <v>75.24034670289664</v>
      </c>
      <c r="Q11" s="63">
        <f>sqrt2*I11/(((B11+C11)*pi2/40)*1000)</f>
        <v>0.0021449749797065373</v>
      </c>
      <c r="R11" s="109">
        <f>1000*H11*sqrt2/(G11*pi2*f_test*((C11-B11)*D11/200)/10000)</f>
        <v>20.26611856563361</v>
      </c>
      <c r="S11" s="109">
        <f>R11/(100000*Q11*mu_0)</f>
        <v>75224.39595108337</v>
      </c>
      <c r="T11" s="109">
        <f>H11*1000000/(G11*I11*pi2*f_test)</f>
        <v>0.055435238913018735</v>
      </c>
      <c r="U11" s="23"/>
      <c r="V11" s="22"/>
    </row>
    <row r="12" spans="1:22" ht="12.75">
      <c r="A12" s="93" t="s">
        <v>174</v>
      </c>
      <c r="B12" s="23">
        <v>101.6</v>
      </c>
      <c r="C12" s="23">
        <v>117.5</v>
      </c>
      <c r="D12" s="23">
        <v>25.4</v>
      </c>
      <c r="E12" s="23">
        <v>1.5</v>
      </c>
      <c r="F12" s="110">
        <v>0.93</v>
      </c>
      <c r="G12" s="23">
        <v>220</v>
      </c>
      <c r="H12" s="110">
        <v>0.023</v>
      </c>
      <c r="I12" s="110">
        <v>7.6</v>
      </c>
      <c r="J12" s="110">
        <v>0.00864</v>
      </c>
      <c r="K12" s="118">
        <f>(C12-B12)*D12*F12/200</f>
        <v>1.8779490000000008</v>
      </c>
      <c r="L12" s="118">
        <f>(B12+C12)*pi2/40</f>
        <v>34.416228000000004</v>
      </c>
      <c r="M12" s="110">
        <v>0.152</v>
      </c>
      <c r="N12" s="110">
        <v>0.157</v>
      </c>
      <c r="O12" s="110">
        <v>0.151</v>
      </c>
      <c r="P12" s="118">
        <f>(360/pi2)*ACOS(((N12*N12-H12*H12-M12*M12)/(2*M12*H12)+(H12*H12+M12*M12-O12*O12)/(2*M12*H12))/2)</f>
        <v>82.4058974676931</v>
      </c>
      <c r="Q12" s="63">
        <f>sqrt2*I12/(((B12+C12)*pi2/40)*1000)</f>
        <v>0.00031229520777336555</v>
      </c>
      <c r="R12" s="109">
        <f>1000*H12*sqrt2/(G12*pi2*f_test*((C12-B12)*D12/200)/10000)</f>
        <v>2.3306036350478654</v>
      </c>
      <c r="S12" s="109">
        <f>R12/(100000*Q12*mu_0)</f>
        <v>59417.3748545202</v>
      </c>
      <c r="T12" s="109">
        <f>H12*1000000/(G12*I12*pi2*f_test)</f>
        <v>0.04378654463090151</v>
      </c>
      <c r="U12" s="23"/>
      <c r="V12" s="22"/>
    </row>
    <row r="13" spans="1:22" ht="12.75">
      <c r="A13" s="93" t="s">
        <v>174</v>
      </c>
      <c r="B13" s="23">
        <v>101.6</v>
      </c>
      <c r="C13" s="23">
        <v>117.5</v>
      </c>
      <c r="D13" s="23">
        <v>25.4</v>
      </c>
      <c r="E13" s="23">
        <v>1.5</v>
      </c>
      <c r="F13" s="110">
        <v>0.93</v>
      </c>
      <c r="G13" s="23">
        <v>220</v>
      </c>
      <c r="H13" s="110">
        <v>0.12</v>
      </c>
      <c r="I13" s="110">
        <v>32.4</v>
      </c>
      <c r="J13" s="110">
        <v>0.00864</v>
      </c>
      <c r="K13" s="118">
        <f>(C13-B13)*D13*F13/200</f>
        <v>1.8779490000000008</v>
      </c>
      <c r="L13" s="118">
        <f>(B13+C13)*pi2/40</f>
        <v>34.416228000000004</v>
      </c>
      <c r="M13" s="110">
        <v>0.655</v>
      </c>
      <c r="N13" s="110">
        <v>0.69</v>
      </c>
      <c r="O13" s="110">
        <v>0.645</v>
      </c>
      <c r="P13" s="118">
        <f>(360/pi2)*ACOS(((N13*N13-H13*H13-M13*M13)/(2*M13*H13)+(H13*H13+M13*M13-O13*O13)/(2*M13*H13))/2)</f>
        <v>78.98409931695478</v>
      </c>
      <c r="Q13" s="63">
        <f>sqrt2*I13/(((B13+C13)*pi2/40)*1000)</f>
        <v>0.001331363780507506</v>
      </c>
      <c r="R13" s="109">
        <f>1000*H13*sqrt2/(G13*pi2*f_test*((C13-B13)*D13/200)/10000)</f>
        <v>12.159671139380167</v>
      </c>
      <c r="S13" s="109">
        <f>R13/(100000*Q13*mu_0)</f>
        <v>72716.91608604725</v>
      </c>
      <c r="T13" s="109">
        <f>H13*1000000/(G13*I13*pi2*f_test)</f>
        <v>0.05358739761591812</v>
      </c>
      <c r="U13" s="23"/>
      <c r="V13" s="22"/>
    </row>
    <row r="14" spans="1:22" ht="12.75">
      <c r="A14" s="93" t="s">
        <v>174</v>
      </c>
      <c r="B14" s="23">
        <v>101.6</v>
      </c>
      <c r="C14" s="23">
        <v>117.5</v>
      </c>
      <c r="D14" s="23">
        <v>25.4</v>
      </c>
      <c r="E14" s="23">
        <v>1.5</v>
      </c>
      <c r="F14" s="110">
        <v>0.93</v>
      </c>
      <c r="G14" s="23">
        <v>220</v>
      </c>
      <c r="H14" s="110">
        <v>0.39</v>
      </c>
      <c r="I14" s="110">
        <v>81.5</v>
      </c>
      <c r="J14" s="110">
        <v>0.00864</v>
      </c>
      <c r="K14" s="118">
        <f>(C14-B14)*D14*F14/200</f>
        <v>1.8779490000000008</v>
      </c>
      <c r="L14" s="118">
        <f>(B14+C14)*pi2/40</f>
        <v>34.416228000000004</v>
      </c>
      <c r="M14" s="110">
        <v>1.633</v>
      </c>
      <c r="N14" s="110">
        <v>1.83</v>
      </c>
      <c r="O14" s="121">
        <v>1.525</v>
      </c>
      <c r="P14" s="118">
        <f>(360/pi2)*ACOS(((N14*N14-H14*H14-M14*M14)/(2*M14*H14)+(H14*H14+M14*M14-O14*O14)/(2*M14*H14))/2)</f>
        <v>66.31652002792765</v>
      </c>
      <c r="Q14" s="63">
        <f>sqrt2*I14/(((B14+C14)*pi2/40)*1000)</f>
        <v>0.0033489551886222756</v>
      </c>
      <c r="R14" s="109">
        <f>1000*H14*sqrt2/(G14*pi2*f_test*((C14-B14)*D14/200)/10000)</f>
        <v>39.51893120298555</v>
      </c>
      <c r="S14" s="109">
        <f>R14/(100000*Q14*mu_0)</f>
        <v>93952.0400473715</v>
      </c>
      <c r="T14" s="109">
        <f>H14*1000000/(G14*I14*pi2*f_test)</f>
        <v>0.06923623274792856</v>
      </c>
      <c r="U14" s="23"/>
      <c r="V14" s="22"/>
    </row>
    <row r="15" spans="1:22" ht="12.75">
      <c r="A15" s="93" t="s">
        <v>174</v>
      </c>
      <c r="B15" s="23">
        <v>101.6</v>
      </c>
      <c r="C15" s="23">
        <v>117.5</v>
      </c>
      <c r="D15" s="23">
        <v>25.4</v>
      </c>
      <c r="E15" s="23">
        <v>1.5</v>
      </c>
      <c r="F15" s="110">
        <v>0.93</v>
      </c>
      <c r="G15" s="23">
        <v>220</v>
      </c>
      <c r="H15" s="110">
        <v>0.8</v>
      </c>
      <c r="I15" s="110">
        <v>133</v>
      </c>
      <c r="J15" s="110">
        <v>0.00864</v>
      </c>
      <c r="K15" s="118">
        <f>(C15-B15)*D15*F15/200</f>
        <v>1.8779490000000008</v>
      </c>
      <c r="L15" s="118">
        <f>(B15+C15)*pi2/40</f>
        <v>34.416228000000004</v>
      </c>
      <c r="M15" s="110">
        <v>2.685</v>
      </c>
      <c r="N15" s="110">
        <v>3.16</v>
      </c>
      <c r="O15" s="110">
        <v>2.35</v>
      </c>
      <c r="P15" s="118">
        <f>(360/pi2)*ACOS(((N15*N15-H15*H15-M15*M15)/(2*M15*H15)+(H15*H15+M15*M15-O15*O15)/(2*M15*H15))/2)</f>
        <v>58.704609286847855</v>
      </c>
      <c r="Q15" s="63">
        <f>sqrt2*I15/(((B15+C15)*pi2/40)*1000)</f>
        <v>0.005465166136033897</v>
      </c>
      <c r="R15" s="109">
        <f>1000*H15*sqrt2/(G15*pi2*f_test*((C15-B15)*D15/200)/10000)</f>
        <v>81.06447426253445</v>
      </c>
      <c r="S15" s="109">
        <f>R15/(100000*Q15*mu_0)</f>
        <v>118096.64567358051</v>
      </c>
      <c r="T15" s="109">
        <f>H15*1000000/(G15*I15*pi2*f_test)</f>
        <v>0.08702915703036326</v>
      </c>
      <c r="U15" s="23" t="s">
        <v>175</v>
      </c>
      <c r="V15" s="22">
        <f>100-(98*800/810)</f>
        <v>3.209876543209873</v>
      </c>
    </row>
    <row r="16" spans="1:22" ht="12.75">
      <c r="A16" t="s">
        <v>139</v>
      </c>
      <c r="B16" s="23">
        <v>63.7</v>
      </c>
      <c r="C16" s="23">
        <v>76.3</v>
      </c>
      <c r="D16" s="23">
        <v>19.4</v>
      </c>
      <c r="E16" s="23">
        <v>1</v>
      </c>
      <c r="F16" s="110">
        <v>0.93</v>
      </c>
      <c r="G16" s="23">
        <v>450</v>
      </c>
      <c r="H16" s="110">
        <f>0.78*0.071</f>
        <v>0.05538</v>
      </c>
      <c r="I16" s="110">
        <v>10</v>
      </c>
      <c r="J16" s="110">
        <v>0.00864</v>
      </c>
      <c r="K16" s="118">
        <f>(C16-B16)*D16*F16/200</f>
        <v>1.1366459999999996</v>
      </c>
      <c r="L16" s="118">
        <f>(B16+C16)*pi2/40</f>
        <v>21.9912</v>
      </c>
      <c r="M16" s="110">
        <v>0.055</v>
      </c>
      <c r="N16" s="110">
        <v>0.1</v>
      </c>
      <c r="O16" s="110">
        <v>0.082</v>
      </c>
      <c r="P16" s="118">
        <f>(360/pi2)*ACOS(((N16*N16-H16*H16-M16*M16)/(2*M16*H16)+(H16*H16+M16*M16-O16*O16)/(2*M16*H16))/2)</f>
        <v>74.40183530803078</v>
      </c>
      <c r="Q16" s="63">
        <f>sqrt2*I16/(((B16+C16)*pi2/40)*1000)</f>
        <v>0.000643081579164891</v>
      </c>
      <c r="R16" s="109">
        <f>1000*H16*sqrt2/(G16*pi2*f_test*((C16-B16)*D16/200)/10000)</f>
        <v>4.532755231532604</v>
      </c>
      <c r="S16" s="109">
        <f>R16/(100000*Q16*mu_0)</f>
        <v>56118.565213056</v>
      </c>
      <c r="T16" s="109">
        <f>H16*1000000/(G16*I16*pi2*f_test)</f>
        <v>0.039173245055597994</v>
      </c>
      <c r="U16" s="23"/>
      <c r="V16" s="22"/>
    </row>
    <row r="17" spans="1:22" ht="12.75">
      <c r="A17" t="s">
        <v>139</v>
      </c>
      <c r="B17" s="23">
        <v>63.7</v>
      </c>
      <c r="C17" s="23">
        <v>76.3</v>
      </c>
      <c r="D17" s="23">
        <v>19.4</v>
      </c>
      <c r="E17" s="23">
        <v>1</v>
      </c>
      <c r="F17" s="110">
        <v>0.93</v>
      </c>
      <c r="G17" s="23">
        <v>450</v>
      </c>
      <c r="H17" s="23">
        <f>0.78*0.429</f>
        <v>0.33462000000000003</v>
      </c>
      <c r="I17" s="23">
        <v>50</v>
      </c>
      <c r="J17" s="110">
        <v>0.00864</v>
      </c>
      <c r="K17" s="118">
        <f>(C17-B17)*D17*F17/200</f>
        <v>1.1366459999999996</v>
      </c>
      <c r="L17" s="118">
        <f>(B17+C17)*pi2/40</f>
        <v>21.9912</v>
      </c>
      <c r="M17" s="110">
        <v>0.267</v>
      </c>
      <c r="N17" s="110">
        <v>0.585</v>
      </c>
      <c r="O17" s="110">
        <v>0.433</v>
      </c>
      <c r="P17" s="118">
        <f>(360/pi2)*ACOS(((N17*N17-H17*H17-M17*M17)/(2*M17*H17)+(H17*H17+M17*M17-O17*O17)/(2*M17*H17))/2)</f>
        <v>64.34299768328036</v>
      </c>
      <c r="Q17" s="63">
        <f>sqrt2*I17/(((B17+C17)*pi2/40)*1000)</f>
        <v>0.003215407895824455</v>
      </c>
      <c r="R17" s="109">
        <f>1000*H17*sqrt2/(G17*pi2*f_test*((C17-B17)*D17/200)/10000)</f>
        <v>27.388056258133627</v>
      </c>
      <c r="S17" s="109">
        <f>R17/(100000*Q17*mu_0)</f>
        <v>67816.51965183389</v>
      </c>
      <c r="T17" s="109">
        <f>H17*1000000/(G17*I17*pi2*f_test)</f>
        <v>0.04733893557422969</v>
      </c>
      <c r="U17" s="23"/>
      <c r="V17" s="22"/>
    </row>
    <row r="18" spans="1:22" ht="12.75">
      <c r="A18" t="s">
        <v>139</v>
      </c>
      <c r="B18" s="23">
        <v>63.7</v>
      </c>
      <c r="C18" s="23">
        <v>76.3</v>
      </c>
      <c r="D18" s="23">
        <v>19.4</v>
      </c>
      <c r="E18" s="23">
        <v>1</v>
      </c>
      <c r="F18" s="110">
        <v>0.93</v>
      </c>
      <c r="G18" s="23">
        <v>450</v>
      </c>
      <c r="H18" s="23">
        <f>0.78*1.07</f>
        <v>0.8346000000000001</v>
      </c>
      <c r="I18" s="23">
        <v>100</v>
      </c>
      <c r="J18" s="23">
        <v>0.015</v>
      </c>
      <c r="K18" s="118">
        <f>(C18-B18)*D18*F18/200</f>
        <v>1.1366459999999996</v>
      </c>
      <c r="L18" s="118">
        <f>(B18+C18)*pi2/40</f>
        <v>21.9912</v>
      </c>
      <c r="M18" s="110">
        <v>0.532</v>
      </c>
      <c r="N18" s="110">
        <v>1.4</v>
      </c>
      <c r="O18" s="110">
        <v>0.95</v>
      </c>
      <c r="P18" s="118">
        <f>(360/pi2)*ACOS(((N18*N18-H18*H18-M18*M18)/(2*M18*H18)+(H18*H18+M18*M18-O18*O18)/(2*M18*H18))/2)</f>
        <v>53.45661636189257</v>
      </c>
      <c r="Q18" s="63">
        <f>sqrt2*I18/(((B18+C18)*pi2/40)*1000)</f>
        <v>0.00643081579164891</v>
      </c>
      <c r="R18" s="109">
        <f>1000*H18*sqrt2/(G18*pi2*f_test*((C18-B18)*D18/200)/10000)</f>
        <v>68.31053658788575</v>
      </c>
      <c r="S18" s="109">
        <f>R18/(100000*Q18*mu_0)</f>
        <v>84573.04898305627</v>
      </c>
      <c r="T18" s="109">
        <f>H18*1000000/(G18*I18*pi2*f_test)</f>
        <v>0.05903573550632375</v>
      </c>
      <c r="U18" s="23"/>
      <c r="V18" s="22"/>
    </row>
    <row r="19" spans="1:22" ht="12.75">
      <c r="A19" t="s">
        <v>139</v>
      </c>
      <c r="B19" s="23">
        <v>63.7</v>
      </c>
      <c r="C19" s="23">
        <v>76.3</v>
      </c>
      <c r="D19" s="23">
        <v>19.4</v>
      </c>
      <c r="E19" s="23">
        <v>1</v>
      </c>
      <c r="F19" s="110">
        <v>0.93</v>
      </c>
      <c r="G19" s="23">
        <v>450</v>
      </c>
      <c r="H19" s="23">
        <f>0.78*1.91</f>
        <v>1.4898</v>
      </c>
      <c r="I19" s="23">
        <v>150</v>
      </c>
      <c r="J19" s="23">
        <v>0.015</v>
      </c>
      <c r="K19" s="118">
        <f>(C19-B19)*D19*F19/200</f>
        <v>1.1366459999999996</v>
      </c>
      <c r="L19" s="118">
        <f>(B19+C19)*pi2/40</f>
        <v>21.9912</v>
      </c>
      <c r="M19" s="110">
        <v>0.81</v>
      </c>
      <c r="N19" s="110">
        <v>2.5</v>
      </c>
      <c r="O19" s="110">
        <v>1.565</v>
      </c>
      <c r="P19" s="118">
        <f>(360/pi2)*ACOS(((N19*N19-H19*H19-M19*M19)/(2*M19*H19)+(H19*H19+M19*M19-O19*O19)/(2*M19*H19))/2)</f>
        <v>38.05607866576775</v>
      </c>
      <c r="Q19" s="63">
        <f>sqrt2*I19/(((B19+C19)*pi2/40)*1000)</f>
        <v>0.009646223687473365</v>
      </c>
      <c r="R19" s="109">
        <f>1000*H19*sqrt2/(G19*pi2*f_test*((C19-B19)*D19/200)/10000)</f>
        <v>121.937499890525</v>
      </c>
      <c r="S19" s="109">
        <f>R19/(100000*Q19*mu_0)</f>
        <v>100644.56296426007</v>
      </c>
      <c r="T19" s="109">
        <f>H19*1000000/(G19*I19*pi2*f_test)</f>
        <v>0.07025436437201144</v>
      </c>
      <c r="U19" s="23" t="s">
        <v>176</v>
      </c>
      <c r="V19" s="22"/>
    </row>
    <row r="20" spans="1:22" ht="12.75">
      <c r="A20" t="s">
        <v>174</v>
      </c>
      <c r="B20" s="23">
        <v>101.6</v>
      </c>
      <c r="C20" s="23">
        <v>117.5</v>
      </c>
      <c r="D20" s="23">
        <v>25.4</v>
      </c>
      <c r="E20" s="23">
        <v>1.5</v>
      </c>
      <c r="F20" s="110">
        <v>0.93</v>
      </c>
      <c r="G20" s="23">
        <v>450</v>
      </c>
      <c r="H20" s="23">
        <v>0.04</v>
      </c>
      <c r="I20" s="23">
        <v>10</v>
      </c>
      <c r="J20" s="23">
        <v>0.0091</v>
      </c>
      <c r="K20" s="118">
        <f>(C20-B20)*D20*F20/200</f>
        <v>1.8779490000000008</v>
      </c>
      <c r="L20" s="118">
        <f>(B20+C20)*pi2/40</f>
        <v>34.416228000000004</v>
      </c>
      <c r="M20" s="110"/>
      <c r="N20" s="110"/>
      <c r="O20" s="110"/>
      <c r="P20" s="113">
        <v>60</v>
      </c>
      <c r="Q20" s="63">
        <f>sqrt2*I20/(((B20+C20)*pi2/40)*1000)</f>
        <v>0.0004109147470702179</v>
      </c>
      <c r="R20" s="109">
        <f>1000*H20*sqrt2/(G20*pi2*f_test*((C20-B20)*D20/200)/10000)</f>
        <v>1.9815760375286202</v>
      </c>
      <c r="S20" s="109">
        <f>R20/(100000*Q20*mu_0)</f>
        <v>38394.53169343296</v>
      </c>
      <c r="T20" s="109">
        <f>H20*1000000/(G20*I20*pi2*f_test)</f>
        <v>0.028294145941204763</v>
      </c>
      <c r="U20" s="23"/>
      <c r="V20" s="22"/>
    </row>
    <row r="21" spans="1:22" ht="12.75">
      <c r="A21" t="s">
        <v>174</v>
      </c>
      <c r="B21" s="23">
        <v>101.6</v>
      </c>
      <c r="C21" s="23">
        <v>117.5</v>
      </c>
      <c r="D21" s="23">
        <v>25.4</v>
      </c>
      <c r="E21" s="23">
        <v>1.5</v>
      </c>
      <c r="F21" s="110">
        <v>0.93</v>
      </c>
      <c r="G21" s="23">
        <v>450</v>
      </c>
      <c r="H21" s="23">
        <v>0.1</v>
      </c>
      <c r="I21" s="23">
        <v>23</v>
      </c>
      <c r="J21" s="23">
        <v>0.0091</v>
      </c>
      <c r="K21" s="118">
        <f>(C21-B21)*D21*F21/200</f>
        <v>1.8779490000000008</v>
      </c>
      <c r="L21" s="118">
        <f>(B21+C21)*pi2/40</f>
        <v>34.416228000000004</v>
      </c>
      <c r="M21" s="110"/>
      <c r="N21" s="110"/>
      <c r="O21" s="110"/>
      <c r="P21" s="113">
        <v>60</v>
      </c>
      <c r="Q21" s="63">
        <f>sqrt2*I21/(((B21+C21)*pi2/40)*1000)</f>
        <v>0.000945103918261501</v>
      </c>
      <c r="R21" s="109">
        <f>1000*H21*sqrt2/(G21*pi2*f_test*((C21-B21)*D21/200)/10000)</f>
        <v>4.953940093821551</v>
      </c>
      <c r="S21" s="109">
        <f>R21/(100000*Q21*mu_0)</f>
        <v>41733.1866232967</v>
      </c>
      <c r="T21" s="109">
        <f>H21*1000000/(G21*I21*pi2*f_test)</f>
        <v>0.030754506457831267</v>
      </c>
      <c r="U21" s="23"/>
      <c r="V21" s="22"/>
    </row>
    <row r="22" spans="1:22" ht="12.75">
      <c r="A22" t="s">
        <v>174</v>
      </c>
      <c r="B22" s="23">
        <v>101.6</v>
      </c>
      <c r="C22" s="23">
        <v>117.5</v>
      </c>
      <c r="D22" s="23">
        <v>25.4</v>
      </c>
      <c r="E22" s="23">
        <v>1.5</v>
      </c>
      <c r="F22" s="110">
        <v>0.93</v>
      </c>
      <c r="G22" s="23">
        <v>450</v>
      </c>
      <c r="H22" s="23">
        <v>0.25</v>
      </c>
      <c r="I22" s="23">
        <v>52</v>
      </c>
      <c r="J22" s="23">
        <v>0.0091</v>
      </c>
      <c r="K22" s="118">
        <f>(C22-B22)*D22*F22/200</f>
        <v>1.8779490000000008</v>
      </c>
      <c r="L22" s="118">
        <f>(B22+C22)*pi2/40</f>
        <v>34.416228000000004</v>
      </c>
      <c r="M22" s="110"/>
      <c r="N22" s="110"/>
      <c r="O22" s="110"/>
      <c r="P22" s="113">
        <v>60</v>
      </c>
      <c r="Q22" s="63">
        <f>sqrt2*I22/(((B22+C22)*pi2/40)*1000)</f>
        <v>0.002136756684765133</v>
      </c>
      <c r="R22" s="109">
        <f>1000*H22*sqrt2/(G22*pi2*f_test*((C22-B22)*D22/200)/10000)</f>
        <v>12.384850234553877</v>
      </c>
      <c r="S22" s="109">
        <f>R22/(100000*Q22*mu_0)</f>
        <v>46147.27366999153</v>
      </c>
      <c r="T22" s="109">
        <f>H22*1000000/(G22*I22*pi2*f_test)</f>
        <v>0.034007386948563416</v>
      </c>
      <c r="U22" s="23"/>
      <c r="V22" s="22"/>
    </row>
    <row r="23" spans="1:22" ht="12.75">
      <c r="A23" t="s">
        <v>174</v>
      </c>
      <c r="B23" s="23">
        <v>101.6</v>
      </c>
      <c r="C23" s="23">
        <v>117.5</v>
      </c>
      <c r="D23" s="23">
        <v>25.4</v>
      </c>
      <c r="E23" s="23">
        <v>1.5</v>
      </c>
      <c r="F23" s="110">
        <v>0.93</v>
      </c>
      <c r="G23" s="23">
        <v>450</v>
      </c>
      <c r="H23" s="23">
        <v>0.5</v>
      </c>
      <c r="I23" s="23">
        <v>90</v>
      </c>
      <c r="J23" s="23">
        <v>0.0091</v>
      </c>
      <c r="K23" s="118">
        <f>(C23-B23)*D23*F23/200</f>
        <v>1.8779490000000008</v>
      </c>
      <c r="L23" s="118">
        <f>(B23+C23)*pi2/40</f>
        <v>34.416228000000004</v>
      </c>
      <c r="M23" s="110"/>
      <c r="N23" s="110"/>
      <c r="O23" s="110"/>
      <c r="P23" s="113">
        <v>60</v>
      </c>
      <c r="Q23" s="63">
        <f>sqrt2*I23/(((B23+C23)*pi2/40)*1000)</f>
        <v>0.003698232723631961</v>
      </c>
      <c r="R23" s="109">
        <f>1000*H23*sqrt2/(G23*pi2*f_test*((C23-B23)*D23/200)/10000)</f>
        <v>24.769700469107754</v>
      </c>
      <c r="S23" s="109">
        <f>R23/(100000*Q23*mu_0)</f>
        <v>53325.73846310133</v>
      </c>
      <c r="T23" s="109">
        <f>H23*1000000/(G23*I23*pi2*f_test)</f>
        <v>0.03929742491833995</v>
      </c>
      <c r="U23" s="23"/>
      <c r="V23" s="22"/>
    </row>
    <row r="24" spans="1:22" ht="12.75">
      <c r="A24" s="93" t="s">
        <v>177</v>
      </c>
      <c r="B24" s="23">
        <v>59</v>
      </c>
      <c r="C24" s="23">
        <v>72</v>
      </c>
      <c r="D24" s="23">
        <v>16</v>
      </c>
      <c r="E24" s="23">
        <v>1</v>
      </c>
      <c r="F24" s="110">
        <v>0.93</v>
      </c>
      <c r="G24" s="23">
        <v>650</v>
      </c>
      <c r="H24" s="23">
        <v>0.053</v>
      </c>
      <c r="I24" s="23">
        <v>4.6</v>
      </c>
      <c r="J24" s="23">
        <f>12/650</f>
        <v>0.018461538461538463</v>
      </c>
      <c r="K24" s="118">
        <f>(C24-B24)*D24*F24/200</f>
        <v>0.9672</v>
      </c>
      <c r="L24" s="118">
        <f>(B24+C24)*pi2/40</f>
        <v>20.57748</v>
      </c>
      <c r="M24" s="110">
        <v>0.093</v>
      </c>
      <c r="N24" s="110">
        <v>0.112</v>
      </c>
      <c r="O24" s="110">
        <v>0.101</v>
      </c>
      <c r="P24" s="118">
        <f>(360/pi2)*ACOS(((N24*N24-H24*H24-M24*M24)/(2*M24*H24)+(H24*H24+M24*M24-O24*O24)/(2*M24*H24))/2)</f>
        <v>83.17478978046682</v>
      </c>
      <c r="Q24" s="63">
        <f>sqrt2*I24/(((B24+C24)*pi2/40)*1000)</f>
        <v>0.0003161408679253357</v>
      </c>
      <c r="R24" s="109">
        <f>1000*H24*sqrt2/(G24*pi2*f_test*((C24-B24)*D24/200)/10000)</f>
        <v>3.5293382525173755</v>
      </c>
      <c r="S24" s="109">
        <f>R24/(100000*Q24*mu_0)</f>
        <v>88883.87963143521</v>
      </c>
      <c r="T24" s="109">
        <f>H24*1000000/(G24*I24*pi2*f_test)</f>
        <v>0.05642269069379045</v>
      </c>
      <c r="U24" s="23"/>
      <c r="V24" s="22"/>
    </row>
    <row r="25" spans="1:22" ht="12.75">
      <c r="A25" s="93" t="s">
        <v>177</v>
      </c>
      <c r="B25" s="23">
        <v>59</v>
      </c>
      <c r="C25" s="23">
        <v>72</v>
      </c>
      <c r="D25" s="23">
        <v>16</v>
      </c>
      <c r="E25" s="23">
        <v>1</v>
      </c>
      <c r="F25" s="110">
        <v>0.93</v>
      </c>
      <c r="G25" s="23">
        <v>650</v>
      </c>
      <c r="H25" s="23">
        <v>0.25</v>
      </c>
      <c r="I25" s="23">
        <v>19.25</v>
      </c>
      <c r="J25" s="23">
        <v>0.01846</v>
      </c>
      <c r="K25" s="118">
        <f>(C25-B25)*D25*F25/200</f>
        <v>0.9672</v>
      </c>
      <c r="L25" s="118">
        <f>(B25+C25)*pi2/40</f>
        <v>20.57748</v>
      </c>
      <c r="M25" s="110">
        <v>0.387</v>
      </c>
      <c r="N25" s="110">
        <v>0.5</v>
      </c>
      <c r="O25" s="110">
        <v>0.415</v>
      </c>
      <c r="P25" s="118">
        <f>(360/pi2)*ACOS(((N25*N25-H25*H25-M25*M25)/(2*M25*H25)+(H25*H25+M25*M25-O25*O25)/(2*M25*H25))/2)</f>
        <v>78.40618787781935</v>
      </c>
      <c r="Q25" s="63">
        <f>sqrt2*I25/(((B25+C25)*pi2/40)*1000)</f>
        <v>0.0013229808059918942</v>
      </c>
      <c r="R25" s="109">
        <f>1000*H25*sqrt2/(G25*pi2*f_test*((C25-B25)*D25/200)/10000)</f>
        <v>16.647821945836675</v>
      </c>
      <c r="S25" s="109">
        <f>R25/(100000*Q25*mu_0)</f>
        <v>100187.66143214944</v>
      </c>
      <c r="T25" s="109">
        <f>H25*1000000/(G25*I25*pi2*f_test)</f>
        <v>0.06359823013757315</v>
      </c>
      <c r="U25" s="23"/>
      <c r="V25" s="22"/>
    </row>
    <row r="26" spans="1:22" ht="12.75">
      <c r="A26" s="93" t="s">
        <v>177</v>
      </c>
      <c r="B26" s="23">
        <v>59</v>
      </c>
      <c r="C26" s="23">
        <v>72</v>
      </c>
      <c r="D26" s="23">
        <v>16</v>
      </c>
      <c r="E26" s="23">
        <v>1</v>
      </c>
      <c r="F26" s="110">
        <v>0.93</v>
      </c>
      <c r="G26" s="23">
        <v>650</v>
      </c>
      <c r="H26" s="23">
        <v>1.2</v>
      </c>
      <c r="I26" s="23">
        <v>64.7</v>
      </c>
      <c r="J26" s="23">
        <v>0.01846</v>
      </c>
      <c r="K26" s="118">
        <f>(C26-B26)*D26*F26/200</f>
        <v>0.9672</v>
      </c>
      <c r="L26" s="118">
        <f>(B26+C26)*pi2/40</f>
        <v>20.57748</v>
      </c>
      <c r="M26" s="110">
        <v>1.3</v>
      </c>
      <c r="N26" s="110">
        <v>2.06</v>
      </c>
      <c r="O26" s="110">
        <v>1.32</v>
      </c>
      <c r="P26" s="118">
        <f>(360/pi2)*ACOS(((N26*N26-H26*H26-M26*M26)/(2*M26*H26)+(H26*H26+M26*M26-O26*O26)/(2*M26*H26))/2)</f>
        <v>66.36956028930895</v>
      </c>
      <c r="Q26" s="63">
        <f>sqrt2*I26/(((B26+C26)*pi2/40)*1000)</f>
        <v>0.004446590033645483</v>
      </c>
      <c r="R26" s="109">
        <f>1000*H26*sqrt2/(G26*pi2*f_test*((C26-B26)*D26/200)/10000)</f>
        <v>79.90954534001604</v>
      </c>
      <c r="S26" s="109">
        <f>R26/(100000*Q26*mu_0)</f>
        <v>143080.98788764462</v>
      </c>
      <c r="T26" s="109">
        <f>H26*1000000/(G26*I26*pi2*f_test)</f>
        <v>0.09082652959369024</v>
      </c>
      <c r="U26" s="23"/>
      <c r="V26" s="22"/>
    </row>
    <row r="27" spans="1:22" ht="12.75">
      <c r="A27" s="93" t="s">
        <v>177</v>
      </c>
      <c r="B27" s="23">
        <v>59</v>
      </c>
      <c r="C27" s="23">
        <v>72</v>
      </c>
      <c r="D27" s="23">
        <v>16</v>
      </c>
      <c r="E27" s="23">
        <v>1</v>
      </c>
      <c r="F27" s="110">
        <v>0.93</v>
      </c>
      <c r="G27" s="23">
        <v>650</v>
      </c>
      <c r="H27" s="23">
        <v>2</v>
      </c>
      <c r="I27" s="23">
        <v>90.7</v>
      </c>
      <c r="J27" s="23">
        <v>0.01846</v>
      </c>
      <c r="K27" s="118">
        <f>(C27-B27)*D27*F27/200</f>
        <v>0.9672</v>
      </c>
      <c r="L27" s="118">
        <f>(B27+C27)*pi2/40</f>
        <v>20.57748</v>
      </c>
      <c r="M27" s="110">
        <v>1.82</v>
      </c>
      <c r="N27" s="110">
        <v>3.28</v>
      </c>
      <c r="O27" s="110">
        <v>1.81</v>
      </c>
      <c r="P27" s="118">
        <f>(360/pi2)*ACOS(((N27*N27-H27*H27-M27*M27)/(2*M27*H27)+(H27*H27+M27*M27-O27*O27)/(2*M27*H27))/2)</f>
        <v>59.076289416674385</v>
      </c>
      <c r="Q27" s="63">
        <f>sqrt2*I27/(((B27+C27)*pi2/40)*1000)</f>
        <v>0.00623347320017999</v>
      </c>
      <c r="R27" s="109">
        <f>1000*H27*sqrt2/(G27*pi2*f_test*((C27-B27)*D27/200)/10000)</f>
        <v>133.1825755666934</v>
      </c>
      <c r="S27" s="109">
        <f>R27/(100000*Q27*mu_0)</f>
        <v>170109.14950993395</v>
      </c>
      <c r="T27" s="109">
        <f>H27*1000000/(G27*I27*pi2*f_test)</f>
        <v>0.10798376451142519</v>
      </c>
      <c r="U27" s="23" t="s">
        <v>178</v>
      </c>
      <c r="V27" s="22">
        <f>100-(98*2000/1961)</f>
        <v>0.050994390617034924</v>
      </c>
    </row>
    <row r="28" spans="1:22" ht="12.75">
      <c r="A28" t="s">
        <v>177</v>
      </c>
      <c r="B28" s="23">
        <v>59</v>
      </c>
      <c r="C28" s="23">
        <v>72</v>
      </c>
      <c r="D28" s="23">
        <v>16</v>
      </c>
      <c r="E28" s="23">
        <v>1</v>
      </c>
      <c r="F28" s="110">
        <v>0.93</v>
      </c>
      <c r="G28" s="23">
        <v>650</v>
      </c>
      <c r="H28" s="23">
        <v>3</v>
      </c>
      <c r="I28" s="23">
        <v>115.6</v>
      </c>
      <c r="J28" s="23">
        <v>0.01846</v>
      </c>
      <c r="K28" s="118">
        <f>(C28-B28)*D28*F28/200</f>
        <v>0.9672</v>
      </c>
      <c r="L28" s="118">
        <f>(B28+C28)*pi2/40</f>
        <v>20.57748</v>
      </c>
      <c r="M28" s="110">
        <v>2.325</v>
      </c>
      <c r="N28" s="110">
        <v>4.75</v>
      </c>
      <c r="O28" s="110">
        <v>2.26</v>
      </c>
      <c r="P28" s="118">
        <f>(360/pi2)*ACOS(((N28*N28-H28*H28-M28*M28)/(2*M28*H28)+(H28*H28+M28*M28-O28*O28)/(2*M28*H28))/2)</f>
        <v>51.271903311793594</v>
      </c>
      <c r="Q28" s="63">
        <f>sqrt2*I28/(((B28+C28)*pi2/40)*1000)</f>
        <v>0.007944757463514958</v>
      </c>
      <c r="R28" s="109">
        <f>1000*H28*sqrt2/(G28*pi2*f_test*((C28-B28)*D28/200)/10000)</f>
        <v>199.77386335004013</v>
      </c>
      <c r="S28" s="109">
        <f>R28/(100000*Q28*mu_0)</f>
        <v>200201.98780991804</v>
      </c>
      <c r="T28" s="109">
        <f>H28*1000000/(G28*I28*pi2*f_test)</f>
        <v>0.12708642873511589</v>
      </c>
      <c r="U28" s="23" t="s">
        <v>179</v>
      </c>
      <c r="V28" s="22">
        <f>100-(98*2954/2910)</f>
        <v>0.5182130584192493</v>
      </c>
    </row>
    <row r="29" spans="1:22" ht="12.75">
      <c r="A29" s="2" t="s">
        <v>177</v>
      </c>
      <c r="B29" s="23">
        <v>59</v>
      </c>
      <c r="C29" s="23">
        <v>72</v>
      </c>
      <c r="D29" s="23">
        <v>16</v>
      </c>
      <c r="E29" s="23">
        <v>1</v>
      </c>
      <c r="F29" s="110">
        <v>0.93</v>
      </c>
      <c r="G29" s="23">
        <v>350</v>
      </c>
      <c r="H29" s="23">
        <v>0.04</v>
      </c>
      <c r="I29" s="23">
        <v>6.6</v>
      </c>
      <c r="J29" s="23">
        <v>0.0063</v>
      </c>
      <c r="K29" s="118">
        <f>(C29-B29)*D29*F29/200</f>
        <v>0.9672</v>
      </c>
      <c r="L29" s="118">
        <f>(B29+C29)*pi2/40</f>
        <v>20.57748</v>
      </c>
      <c r="M29" s="110"/>
      <c r="N29" s="110"/>
      <c r="O29" s="110"/>
      <c r="P29" s="113">
        <v>60</v>
      </c>
      <c r="Q29" s="63">
        <f>sqrt2*I29/(((B29+C29)*pi2/40)*1000)</f>
        <v>0.0004535934191972208</v>
      </c>
      <c r="R29" s="109">
        <f>1000*H29*sqrt2/(G29*pi2*f_test*((C29-B29)*D29/200)/10000)</f>
        <v>4.946781378191469</v>
      </c>
      <c r="S29" s="109">
        <f>R29/(100000*Q29*mu_0)</f>
        <v>86829.30657452952</v>
      </c>
      <c r="T29" s="109">
        <f>H29*1000000/(G29*I29*pi2*f_test)</f>
        <v>0.05511846611923006</v>
      </c>
      <c r="U29" s="23"/>
      <c r="V29" s="22"/>
    </row>
    <row r="30" spans="1:22" ht="12.75">
      <c r="A30" s="2" t="s">
        <v>177</v>
      </c>
      <c r="B30" s="23">
        <v>59</v>
      </c>
      <c r="C30" s="23">
        <v>72</v>
      </c>
      <c r="D30" s="23">
        <v>16</v>
      </c>
      <c r="E30" s="23">
        <v>1</v>
      </c>
      <c r="F30" s="110">
        <v>0.93</v>
      </c>
      <c r="G30" s="23">
        <v>350</v>
      </c>
      <c r="H30" s="23">
        <v>0.1</v>
      </c>
      <c r="I30" s="23">
        <v>14.8</v>
      </c>
      <c r="J30" s="23">
        <v>0.0063</v>
      </c>
      <c r="K30" s="118">
        <f>(C30-B30)*D30*F30/200</f>
        <v>0.9672</v>
      </c>
      <c r="L30" s="118">
        <f>(B30+C30)*pi2/40</f>
        <v>20.57748</v>
      </c>
      <c r="M30" s="110"/>
      <c r="N30" s="110"/>
      <c r="O30" s="110"/>
      <c r="P30" s="113">
        <v>60</v>
      </c>
      <c r="Q30" s="63">
        <f>sqrt2*I30/(((B30+C30)*pi2/40)*1000)</f>
        <v>0.0010171488794119498</v>
      </c>
      <c r="R30" s="109">
        <f>1000*H30*sqrt2/(G30*pi2*f_test*((C30-B30)*D30/200)/10000)</f>
        <v>12.366953445478671</v>
      </c>
      <c r="S30" s="109">
        <f>R30/(100000*Q30*mu_0)</f>
        <v>96802.94314052275</v>
      </c>
      <c r="T30" s="109">
        <f>H30*1000000/(G30*I30*pi2*f_test)</f>
        <v>0.061449641281574055</v>
      </c>
      <c r="U30" s="23"/>
      <c r="V30" s="22"/>
    </row>
    <row r="31" spans="1:22" ht="12.75">
      <c r="A31" s="2" t="s">
        <v>177</v>
      </c>
      <c r="B31" s="23">
        <v>59</v>
      </c>
      <c r="C31" s="23">
        <v>72</v>
      </c>
      <c r="D31" s="23">
        <v>16</v>
      </c>
      <c r="E31" s="23">
        <v>1</v>
      </c>
      <c r="F31" s="110">
        <v>0.93</v>
      </c>
      <c r="G31" s="23">
        <v>350</v>
      </c>
      <c r="H31" s="23">
        <v>0.25</v>
      </c>
      <c r="I31" s="23">
        <v>31.8</v>
      </c>
      <c r="J31" s="23">
        <v>0.0063</v>
      </c>
      <c r="K31" s="118">
        <f>(C31-B31)*D31*F31/200</f>
        <v>0.9672</v>
      </c>
      <c r="L31" s="118">
        <f>(B31+C31)*pi2/40</f>
        <v>20.57748</v>
      </c>
      <c r="M31" s="110"/>
      <c r="N31" s="110"/>
      <c r="O31" s="110"/>
      <c r="P31" s="113">
        <v>60</v>
      </c>
      <c r="Q31" s="63">
        <f>sqrt2*I31/(((B31+C31)*pi2/40)*1000)</f>
        <v>0.0021854955652229734</v>
      </c>
      <c r="R31" s="109">
        <f>1000*H31*sqrt2/(G31*pi2*f_test*((C31-B31)*D31/200)/10000)</f>
        <v>30.91738361369668</v>
      </c>
      <c r="S31" s="109">
        <f>R31/(100000*Q31*mu_0)</f>
        <v>112632.35522639437</v>
      </c>
      <c r="T31" s="109">
        <f>H31*1000000/(G31*I31*pi2*f_test)</f>
        <v>0.07149801029617106</v>
      </c>
      <c r="U31" s="23"/>
      <c r="V31" s="22"/>
    </row>
    <row r="32" spans="1:22" ht="12.75">
      <c r="A32" t="s">
        <v>177</v>
      </c>
      <c r="B32" s="23">
        <v>59</v>
      </c>
      <c r="C32" s="23">
        <v>72</v>
      </c>
      <c r="D32" s="23">
        <v>16</v>
      </c>
      <c r="E32" s="23">
        <v>1</v>
      </c>
      <c r="F32" s="110">
        <v>0.93</v>
      </c>
      <c r="G32" s="23">
        <v>350</v>
      </c>
      <c r="H32" s="23">
        <v>0.5</v>
      </c>
      <c r="I32" s="23">
        <v>54.4</v>
      </c>
      <c r="J32" s="23">
        <v>0.0063</v>
      </c>
      <c r="K32" s="118">
        <f>(C32-B32)*D32*F32/200</f>
        <v>0.9672</v>
      </c>
      <c r="L32" s="118">
        <f>(B32+C32)*pi2/40</f>
        <v>20.57748</v>
      </c>
      <c r="M32" s="110"/>
      <c r="N32" s="110"/>
      <c r="O32" s="110"/>
      <c r="P32" s="113">
        <v>60</v>
      </c>
      <c r="Q32" s="63">
        <f>sqrt2*I32/(((B32+C32)*pi2/40)*1000)</f>
        <v>0.003738709394595275</v>
      </c>
      <c r="R32" s="109">
        <f>1000*H32*sqrt2/(G32*pi2*f_test*((C32-B32)*D32/200)/10000)</f>
        <v>61.83476722739336</v>
      </c>
      <c r="S32" s="109">
        <f>R32/(100000*Q32*mu_0)</f>
        <v>131680.4741249758</v>
      </c>
      <c r="T32" s="109">
        <f>H32*1000000/(G32*I32*pi2*f_test)</f>
        <v>0.08358958556684706</v>
      </c>
      <c r="U32" s="23"/>
      <c r="V32" s="22"/>
    </row>
    <row r="33" spans="2:21" s="50" customFormat="1" ht="12.75">
      <c r="B33" s="50" t="s">
        <v>151</v>
      </c>
      <c r="C33" s="50" t="s">
        <v>152</v>
      </c>
      <c r="D33" s="50" t="s">
        <v>153</v>
      </c>
      <c r="E33" s="50" t="s">
        <v>154</v>
      </c>
      <c r="F33" s="50" t="s">
        <v>155</v>
      </c>
      <c r="G33" s="50" t="s">
        <v>156</v>
      </c>
      <c r="H33" s="34" t="s">
        <v>20</v>
      </c>
      <c r="I33" s="50" t="s">
        <v>157</v>
      </c>
      <c r="J33" s="50" t="s">
        <v>158</v>
      </c>
      <c r="K33" s="50" t="s">
        <v>159</v>
      </c>
      <c r="L33" s="50" t="s">
        <v>160</v>
      </c>
      <c r="M33" s="25" t="s">
        <v>161</v>
      </c>
      <c r="N33" s="25" t="s">
        <v>162</v>
      </c>
      <c r="O33" s="25" t="s">
        <v>163</v>
      </c>
      <c r="P33" s="50" t="s">
        <v>33</v>
      </c>
      <c r="Q33" s="50" t="s">
        <v>35</v>
      </c>
      <c r="R33" s="50" t="s">
        <v>22</v>
      </c>
      <c r="S33" s="50" t="s">
        <v>32</v>
      </c>
      <c r="T33" s="50" t="s">
        <v>147</v>
      </c>
      <c r="U33" s="50" t="s">
        <v>106</v>
      </c>
    </row>
    <row r="34" spans="2:21" s="50" customFormat="1" ht="12.75">
      <c r="B34" s="50" t="s">
        <v>164</v>
      </c>
      <c r="C34" s="50" t="s">
        <v>164</v>
      </c>
      <c r="D34" s="50" t="s">
        <v>164</v>
      </c>
      <c r="E34" s="50" t="s">
        <v>164</v>
      </c>
      <c r="G34" s="34" t="s">
        <v>165</v>
      </c>
      <c r="H34" s="50" t="s">
        <v>37</v>
      </c>
      <c r="I34" s="50" t="s">
        <v>38</v>
      </c>
      <c r="J34" s="50" t="s">
        <v>166</v>
      </c>
      <c r="K34" s="50" t="s">
        <v>167</v>
      </c>
      <c r="L34" s="50" t="s">
        <v>168</v>
      </c>
      <c r="M34" s="50" t="s">
        <v>169</v>
      </c>
      <c r="N34" s="50" t="s">
        <v>169</v>
      </c>
      <c r="O34" s="50" t="s">
        <v>169</v>
      </c>
      <c r="P34" s="50" t="s">
        <v>42</v>
      </c>
      <c r="Q34" s="50" t="s">
        <v>45</v>
      </c>
      <c r="R34" s="50" t="s">
        <v>39</v>
      </c>
      <c r="T34" s="50" t="s">
        <v>44</v>
      </c>
      <c r="U34" s="34"/>
    </row>
    <row r="35" spans="1:22" ht="12.75">
      <c r="A35" s="93" t="s">
        <v>180</v>
      </c>
      <c r="B35" s="23">
        <v>33</v>
      </c>
      <c r="C35" s="23">
        <v>41.5</v>
      </c>
      <c r="D35" s="23">
        <v>19</v>
      </c>
      <c r="E35" s="23">
        <v>1</v>
      </c>
      <c r="F35" s="110">
        <v>0.93</v>
      </c>
      <c r="G35" s="23">
        <v>650</v>
      </c>
      <c r="H35" s="23">
        <v>0.02</v>
      </c>
      <c r="I35" s="23">
        <v>2.22</v>
      </c>
      <c r="J35" s="23">
        <f>51/650</f>
        <v>0.07846153846153846</v>
      </c>
      <c r="K35" s="118">
        <f>(C35-B35)*D35*F35/200</f>
        <v>0.7509750000000001</v>
      </c>
      <c r="L35" s="118">
        <f>(B35+C35)*pi2/40</f>
        <v>11.702459999999999</v>
      </c>
      <c r="M35" s="110">
        <v>0.046</v>
      </c>
      <c r="N35" s="110">
        <v>0.051</v>
      </c>
      <c r="O35" s="110">
        <v>0.0485</v>
      </c>
      <c r="P35" s="118">
        <f>(360/pi2)*ACOS(((N35*N35-H35*H35-M35*M35)/(2*M35*H35)+(H35*H35+M35*M35-O35*O35)/(2*M35*H35))/2)</f>
        <v>86.12392879217225</v>
      </c>
      <c r="Q35" s="63">
        <f>sqrt2*I35/(((B35+C35)*pi2/40)*1000)</f>
        <v>0.0002682815500730848</v>
      </c>
      <c r="R35" s="109">
        <f>1000*H35*sqrt2/(G35*pi2*f_test*((C35-B35)*D35/200)/10000)</f>
        <v>1.7152926141097355</v>
      </c>
      <c r="S35" s="109">
        <f>R35/(100000*Q35*mu_0)</f>
        <v>50904.68697970029</v>
      </c>
      <c r="T35" s="109">
        <f>H35*1000000/(G35*I35*pi2*f_test)</f>
        <v>0.044117691176514706</v>
      </c>
      <c r="U35" s="23"/>
      <c r="V35" s="22"/>
    </row>
    <row r="36" spans="1:22" ht="12.75">
      <c r="A36" s="93" t="s">
        <v>180</v>
      </c>
      <c r="B36" s="23">
        <v>33</v>
      </c>
      <c r="C36" s="23">
        <v>41.5</v>
      </c>
      <c r="D36" s="23">
        <v>19</v>
      </c>
      <c r="E36" s="23">
        <v>1</v>
      </c>
      <c r="F36" s="110">
        <v>0.93</v>
      </c>
      <c r="G36" s="23">
        <v>650</v>
      </c>
      <c r="H36" s="23">
        <v>0.1</v>
      </c>
      <c r="I36" s="23">
        <v>10.3</v>
      </c>
      <c r="J36" s="23">
        <v>0.07846</v>
      </c>
      <c r="K36" s="118">
        <f>(C36-B36)*D36*F36/200</f>
        <v>0.7509750000000001</v>
      </c>
      <c r="L36" s="118">
        <f>(B36+C36)*pi2/40</f>
        <v>11.702459999999999</v>
      </c>
      <c r="M36" s="110">
        <v>0.208</v>
      </c>
      <c r="N36" s="110">
        <v>0.244</v>
      </c>
      <c r="O36" s="110">
        <v>0.219</v>
      </c>
      <c r="P36" s="118">
        <f>(360/pi2)*ACOS(((N36*N36-H36*H36-M36*M36)/(2*M36*H36)+(H36*H36+M36*M36-O36*O36)/(2*M36*H36))/2)</f>
        <v>82.00273038188257</v>
      </c>
      <c r="Q36" s="63">
        <f>sqrt2*I36/(((B36+C36)*pi2/40)*1000)</f>
        <v>0.001244729714303051</v>
      </c>
      <c r="R36" s="109">
        <f>1000*H36*sqrt2/(G36*pi2*f_test*((C36-B36)*D36/200)/10000)</f>
        <v>8.576463070548677</v>
      </c>
      <c r="S36" s="109">
        <f>R36/(100000*Q36*mu_0)</f>
        <v>54858.44907521098</v>
      </c>
      <c r="T36" s="109">
        <f>H36*1000000/(G36*I36*pi2*f_test)</f>
        <v>0.04754430796692361</v>
      </c>
      <c r="U36" s="23"/>
      <c r="V36" s="22"/>
    </row>
    <row r="37" spans="1:22" ht="12.75">
      <c r="A37" s="93" t="s">
        <v>180</v>
      </c>
      <c r="B37" s="23">
        <v>33</v>
      </c>
      <c r="C37" s="23">
        <v>41.5</v>
      </c>
      <c r="D37" s="23">
        <v>19</v>
      </c>
      <c r="E37" s="23">
        <v>1</v>
      </c>
      <c r="F37" s="110">
        <v>0.93</v>
      </c>
      <c r="G37" s="23">
        <v>650</v>
      </c>
      <c r="H37" s="23">
        <v>0.5</v>
      </c>
      <c r="I37" s="23">
        <v>31.4</v>
      </c>
      <c r="J37" s="23">
        <v>0.07846</v>
      </c>
      <c r="K37" s="118">
        <f>(C37-B37)*D37*F37/200</f>
        <v>0.7509750000000001</v>
      </c>
      <c r="L37" s="118">
        <f>(B37+C37)*pi2/40</f>
        <v>11.702459999999999</v>
      </c>
      <c r="M37" s="110">
        <v>0.634</v>
      </c>
      <c r="N37" s="110">
        <v>0.915</v>
      </c>
      <c r="O37" s="110">
        <v>0.663</v>
      </c>
      <c r="P37" s="118">
        <f>(360/pi2)*ACOS(((N37*N37-H37*H37-M37*M37)/(2*M37*H37)+(H37*H37+M37*M37-O37*O37)/(2*M37*H37))/2)</f>
        <v>71.72298156464906</v>
      </c>
      <c r="Q37" s="63">
        <f>sqrt2*I37/(((B37+C37)*pi2/40)*1000)</f>
        <v>0.0037946129154481354</v>
      </c>
      <c r="R37" s="109">
        <f>1000*H37*sqrt2/(G37*pi2*f_test*((C37-B37)*D37/200)/10000)</f>
        <v>42.88231535274338</v>
      </c>
      <c r="S37" s="109">
        <f>R37/(100000*Q37*mu_0)</f>
        <v>89974.84482080783</v>
      </c>
      <c r="T37" s="109">
        <f>H37*1000000/(G37*I37*pi2*f_test)</f>
        <v>0.07797872166549574</v>
      </c>
      <c r="U37" s="23"/>
      <c r="V37" s="22"/>
    </row>
    <row r="38" spans="1:22" ht="12.75">
      <c r="A38" s="93" t="s">
        <v>180</v>
      </c>
      <c r="B38" s="23">
        <v>33</v>
      </c>
      <c r="C38" s="23">
        <v>41.5</v>
      </c>
      <c r="D38" s="23">
        <v>19</v>
      </c>
      <c r="E38" s="23">
        <v>1</v>
      </c>
      <c r="F38" s="110">
        <v>0.93</v>
      </c>
      <c r="G38" s="23">
        <v>650</v>
      </c>
      <c r="H38" s="23">
        <v>2</v>
      </c>
      <c r="I38" s="23">
        <v>72.2</v>
      </c>
      <c r="J38" s="23">
        <v>0.07846</v>
      </c>
      <c r="K38" s="118">
        <f>(C38-B38)*D38*F38/200</f>
        <v>0.7509750000000001</v>
      </c>
      <c r="L38" s="118">
        <f>(B38+C38)*pi2/40</f>
        <v>11.702459999999999</v>
      </c>
      <c r="M38" s="110">
        <v>1.45</v>
      </c>
      <c r="N38" s="110">
        <v>3.07</v>
      </c>
      <c r="O38" s="110">
        <v>1.565</v>
      </c>
      <c r="P38" s="118">
        <f>(360/pi2)*ACOS(((N38*N38-H38*H38-M38*M38)/(2*M38*H38)+(H38*H38+M38*M38-O38*O38)/(2*M38*H38))/2)</f>
        <v>53.03313767426088</v>
      </c>
      <c r="Q38" s="63">
        <f>sqrt2*I38/(((B38+C38)*pi2/40)*1000)</f>
        <v>0.008725192754629154</v>
      </c>
      <c r="R38" s="109">
        <f>1000*H38*sqrt2/(G38*pi2*f_test*((C38-B38)*D38/200)/10000)</f>
        <v>171.52926141097353</v>
      </c>
      <c r="S38" s="109">
        <f>R38/(100000*Q38*mu_0)</f>
        <v>156521.33669658535</v>
      </c>
      <c r="T38" s="109">
        <f>H38*1000000/(G38*I38*pi2*f_test)</f>
        <v>0.13565273464246905</v>
      </c>
      <c r="U38" s="23" t="s">
        <v>181</v>
      </c>
      <c r="V38" s="22">
        <f>100-(98*2010/1985)</f>
        <v>0.765743073047858</v>
      </c>
    </row>
    <row r="39" spans="1:22" ht="12.75">
      <c r="A39" t="s">
        <v>180</v>
      </c>
      <c r="B39" s="23">
        <v>33</v>
      </c>
      <c r="C39" s="23">
        <v>41.5</v>
      </c>
      <c r="D39" s="23">
        <v>19</v>
      </c>
      <c r="E39" s="23">
        <v>1</v>
      </c>
      <c r="F39" s="110">
        <v>0.93</v>
      </c>
      <c r="G39" s="23">
        <v>650</v>
      </c>
      <c r="H39" s="23">
        <v>3</v>
      </c>
      <c r="I39" s="23">
        <v>94</v>
      </c>
      <c r="J39" s="23">
        <v>0.07846</v>
      </c>
      <c r="K39" s="118">
        <f>(C39-B39)*D39*F39/200</f>
        <v>0.7509750000000001</v>
      </c>
      <c r="L39" s="118">
        <f>(B39+C39)*pi2/40</f>
        <v>11.702459999999999</v>
      </c>
      <c r="M39" s="110">
        <v>1.9</v>
      </c>
      <c r="N39" s="110">
        <v>4.45</v>
      </c>
      <c r="O39" s="110">
        <v>2.135</v>
      </c>
      <c r="P39" s="118">
        <f>(360/pi2)*ACOS(((N39*N39-H39*H39-M39*M39)/(2*M39*H39)+(H39*H39+M39*M39-O39*O39)/(2*M39*H39))/2)</f>
        <v>48.04012480316741</v>
      </c>
      <c r="Q39" s="63">
        <f>sqrt2*I39/(((B39+C39)*pi2/40)*1000)</f>
        <v>0.011359669237328816</v>
      </c>
      <c r="R39" s="109">
        <f>1000*H39*sqrt2/(G39*pi2*f_test*((C39-B39)*D39/200)/10000)</f>
        <v>257.29389211646037</v>
      </c>
      <c r="S39" s="109">
        <f>R39/(100000*Q39*mu_0)</f>
        <v>180332.56132170424</v>
      </c>
      <c r="T39" s="109">
        <f>H39*1000000/(G39*I39*pi2*f_test)</f>
        <v>0.15628926767850423</v>
      </c>
      <c r="U39" s="23" t="s">
        <v>182</v>
      </c>
      <c r="V39" s="22">
        <f>100-(98*3000/3000)</f>
        <v>2</v>
      </c>
    </row>
    <row r="40" spans="1:21" ht="12.75">
      <c r="A40" s="2" t="s">
        <v>180</v>
      </c>
      <c r="B40" s="23">
        <v>33</v>
      </c>
      <c r="C40" s="23">
        <v>41.5</v>
      </c>
      <c r="D40" s="23">
        <v>19</v>
      </c>
      <c r="E40" s="23">
        <v>1</v>
      </c>
      <c r="F40" s="110">
        <v>0.93</v>
      </c>
      <c r="G40" s="23">
        <v>600</v>
      </c>
      <c r="H40" s="23">
        <v>0.04</v>
      </c>
      <c r="I40" s="22">
        <v>5.4</v>
      </c>
      <c r="J40" s="23">
        <v>0.08</v>
      </c>
      <c r="K40" s="118">
        <f>(C40-B40)*D40*F40/200</f>
        <v>0.7509750000000001</v>
      </c>
      <c r="L40" s="118">
        <f>(B40+C40)*pi2/40</f>
        <v>11.702459999999999</v>
      </c>
      <c r="M40" s="110"/>
      <c r="N40" s="110"/>
      <c r="O40" s="110"/>
      <c r="P40" s="113">
        <v>60</v>
      </c>
      <c r="Q40" s="63">
        <f>sqrt2*I40/(((B40+C40)*pi2/40)*1000)</f>
        <v>0.000652576743421017</v>
      </c>
      <c r="R40" s="109">
        <f>1000*H40*sqrt2/(G40*pi2*f_test*((C40-B40)*D40/200)/10000)</f>
        <v>3.716467330571094</v>
      </c>
      <c r="S40" s="109">
        <f>R40/(100000*Q40*mu_0)</f>
        <v>45342.87858747378</v>
      </c>
      <c r="T40" s="109">
        <f>H40*1000000/(G40*I40*pi2*f_test)</f>
        <v>0.03929742491833996</v>
      </c>
      <c r="U40" s="122"/>
    </row>
    <row r="41" spans="1:21" ht="12.75">
      <c r="A41" s="2" t="s">
        <v>180</v>
      </c>
      <c r="B41" s="23">
        <v>33</v>
      </c>
      <c r="C41" s="23">
        <v>41.5</v>
      </c>
      <c r="D41" s="23">
        <v>19</v>
      </c>
      <c r="E41" s="23">
        <v>1</v>
      </c>
      <c r="F41" s="110">
        <v>0.93</v>
      </c>
      <c r="G41" s="23">
        <v>600</v>
      </c>
      <c r="H41" s="23">
        <v>0.1</v>
      </c>
      <c r="I41" s="22">
        <v>11.65</v>
      </c>
      <c r="J41" s="23">
        <v>0.08</v>
      </c>
      <c r="K41" s="118">
        <f>(C41-B41)*D41*F41/200</f>
        <v>0.7509750000000001</v>
      </c>
      <c r="L41" s="118">
        <f>(B41+C41)*pi2/40</f>
        <v>11.702459999999999</v>
      </c>
      <c r="M41" s="110"/>
      <c r="N41" s="110"/>
      <c r="O41" s="110"/>
      <c r="P41" s="113">
        <v>60</v>
      </c>
      <c r="Q41" s="63">
        <f>sqrt2*I41/(((B41+C41)*pi2/40)*1000)</f>
        <v>0.0014078739001583053</v>
      </c>
      <c r="R41" s="109">
        <f>1000*H41*sqrt2/(G41*pi2*f_test*((C41-B41)*D41/200)/10000)</f>
        <v>9.291168326427735</v>
      </c>
      <c r="S41" s="109">
        <f>R41/(100000*Q41*mu_0)</f>
        <v>52543.249865312966</v>
      </c>
      <c r="T41" s="109">
        <f>H41*1000000/(G41*I41*pi2*f_test)</f>
        <v>0.04553778853198192</v>
      </c>
      <c r="U41" s="122"/>
    </row>
    <row r="42" spans="1:21" ht="12.75">
      <c r="A42" s="2" t="s">
        <v>180</v>
      </c>
      <c r="B42" s="23">
        <v>33</v>
      </c>
      <c r="C42" s="23">
        <v>41.5</v>
      </c>
      <c r="D42" s="23">
        <v>19</v>
      </c>
      <c r="E42" s="23">
        <v>1</v>
      </c>
      <c r="F42" s="110">
        <v>0.93</v>
      </c>
      <c r="G42" s="23">
        <v>600</v>
      </c>
      <c r="H42" s="23">
        <v>0.25</v>
      </c>
      <c r="I42" s="22">
        <v>25.75</v>
      </c>
      <c r="J42" s="23">
        <v>0.08</v>
      </c>
      <c r="K42" s="118">
        <f>(C42-B42)*D42*F42/200</f>
        <v>0.7509750000000001</v>
      </c>
      <c r="L42" s="118">
        <f>(B42+C42)*pi2/40</f>
        <v>11.702459999999999</v>
      </c>
      <c r="M42" s="110"/>
      <c r="N42" s="110"/>
      <c r="O42" s="110"/>
      <c r="P42" s="113">
        <v>60</v>
      </c>
      <c r="Q42" s="63">
        <f>sqrt2*I42/(((B42+C42)*pi2/40)*1000)</f>
        <v>0.003111824285757627</v>
      </c>
      <c r="R42" s="109">
        <f>1000*H42*sqrt2/(G42*pi2*f_test*((C42-B42)*D42/200)/10000)</f>
        <v>23.227920816069336</v>
      </c>
      <c r="S42" s="109">
        <f>R42/(100000*Q42*mu_0)</f>
        <v>59429.98649814524</v>
      </c>
      <c r="T42" s="109">
        <f>H42*1000000/(G42*I42*pi2*f_test)</f>
        <v>0.051506333630833914</v>
      </c>
      <c r="U42" s="122"/>
    </row>
    <row r="43" spans="1:21" ht="12.75">
      <c r="A43" t="s">
        <v>180</v>
      </c>
      <c r="B43" s="23">
        <v>33</v>
      </c>
      <c r="C43" s="23">
        <v>41.5</v>
      </c>
      <c r="D43" s="23">
        <v>19</v>
      </c>
      <c r="E43" s="23">
        <v>1</v>
      </c>
      <c r="F43" s="110">
        <v>0.93</v>
      </c>
      <c r="G43" s="23">
        <v>600</v>
      </c>
      <c r="H43" s="23">
        <v>0.5</v>
      </c>
      <c r="I43" s="22">
        <v>43.4</v>
      </c>
      <c r="J43" s="23">
        <v>0.08</v>
      </c>
      <c r="K43" s="118">
        <f>(C43-B43)*D43*F43/200</f>
        <v>0.7509750000000001</v>
      </c>
      <c r="L43" s="118">
        <f>(B43+C43)*pi2/40</f>
        <v>11.702459999999999</v>
      </c>
      <c r="M43" s="110"/>
      <c r="N43" s="110"/>
      <c r="O43" s="110"/>
      <c r="P43" s="113">
        <v>60</v>
      </c>
      <c r="Q43" s="63">
        <f>sqrt2*I43/(((B43+C43)*pi2/40)*1000)</f>
        <v>0.005244783456383729</v>
      </c>
      <c r="R43" s="109">
        <f>1000*H43*sqrt2/(G43*pi2*f_test*((C43-B43)*D43/200)/10000)</f>
        <v>46.45584163213867</v>
      </c>
      <c r="S43" s="109">
        <f>R43/(100000*Q43*mu_0)</f>
        <v>70521.75817176222</v>
      </c>
      <c r="T43" s="109">
        <f>H43*1000000/(G43*I43*pi2*f_test)</f>
        <v>0.061119266866081726</v>
      </c>
      <c r="U43" s="122"/>
    </row>
    <row r="44" spans="1:21" ht="12.75">
      <c r="A44" t="s">
        <v>123</v>
      </c>
      <c r="B44" s="23">
        <v>12</v>
      </c>
      <c r="C44" s="23">
        <v>20</v>
      </c>
      <c r="D44" s="23">
        <v>6.5</v>
      </c>
      <c r="E44" s="23">
        <v>1</v>
      </c>
      <c r="F44" s="23">
        <v>0.93</v>
      </c>
      <c r="G44" s="23">
        <v>47</v>
      </c>
      <c r="H44" s="23">
        <v>0.0012</v>
      </c>
      <c r="I44" s="23">
        <v>1000</v>
      </c>
      <c r="J44" s="23">
        <v>0.001</v>
      </c>
      <c r="K44" s="118">
        <f>(C44-B44)*D44*F44/200</f>
        <v>0.2418</v>
      </c>
      <c r="L44" s="118">
        <f>(B44+C44)*pi2/40</f>
        <v>5.02656</v>
      </c>
      <c r="M44" s="23">
        <v>0.0022</v>
      </c>
      <c r="N44" s="23">
        <v>0.0028</v>
      </c>
      <c r="O44" s="23">
        <v>0.0027</v>
      </c>
      <c r="P44" s="118">
        <f>(360/pi2)*ACOS(((N44*N44-H44*H44-M44*M44)/(2*M44*H44)+(H44*H44+M44*M44-O44*O44)/(2*M44*H44))/2)</f>
        <v>87.01429051699131</v>
      </c>
      <c r="Q44" s="63">
        <f>sqrt2*I44/(((B44+C44)*pi2/40)*1000)</f>
        <v>0.28134819088463986</v>
      </c>
      <c r="R44" s="109">
        <f>1000*H44*sqrt2/(G44*pi2*f_test*((C44-B44)*D44/200)/10000)</f>
        <v>4.420528040085993</v>
      </c>
      <c r="S44" s="109">
        <f>R44/(100000*Q44*mu_0)</f>
        <v>125.09512441752581</v>
      </c>
      <c r="T44" s="109">
        <f>H44*1000000/(G44*I44*pi2*f_test)</f>
        <v>8.127041919282219E-05</v>
      </c>
      <c r="U44" s="122"/>
    </row>
    <row r="45" spans="1:21" ht="12.75">
      <c r="A45" t="s">
        <v>123</v>
      </c>
      <c r="B45" s="23">
        <v>12</v>
      </c>
      <c r="C45" s="23">
        <v>20</v>
      </c>
      <c r="D45" s="23">
        <v>6.5</v>
      </c>
      <c r="E45" s="23">
        <v>1</v>
      </c>
      <c r="F45" s="23">
        <v>0.93</v>
      </c>
      <c r="G45" s="23">
        <v>47</v>
      </c>
      <c r="H45" s="23">
        <v>0.0025</v>
      </c>
      <c r="I45" s="23">
        <v>3000</v>
      </c>
      <c r="J45" s="23">
        <v>0.001</v>
      </c>
      <c r="K45" s="118">
        <f>(C45-B45)*D45*F45/200</f>
        <v>0.2418</v>
      </c>
      <c r="L45" s="118">
        <f>(B45+C45)*pi2/40</f>
        <v>5.02656</v>
      </c>
      <c r="M45" s="23">
        <v>0.0053</v>
      </c>
      <c r="N45" s="23">
        <v>0.0057</v>
      </c>
      <c r="O45" s="23">
        <v>0.0056</v>
      </c>
      <c r="P45" s="118">
        <f>(360/pi2)*ACOS(((N45*N45-H45*H45-M45*M45)/(2*M45*H45)+(H45*H45+M45*M45-O45*O45)/(2*M45*H45))/2)</f>
        <v>88.77811056733425</v>
      </c>
      <c r="Q45" s="63">
        <f>sqrt2*I45/(((B45+C45)*pi2/40)*1000)</f>
        <v>0.8440445726539196</v>
      </c>
      <c r="R45" s="109">
        <f>1000*H45*sqrt2/(G45*pi2*f_test*((C45-B45)*D45/200)/10000)</f>
        <v>9.209433416845819</v>
      </c>
      <c r="S45" s="109">
        <f>R45/(100000*Q45*mu_0)</f>
        <v>86.87161417883735</v>
      </c>
      <c r="T45" s="109">
        <f>H45*1000000/(G45*I45*pi2*f_test)</f>
        <v>5.6437791106126526E-05</v>
      </c>
      <c r="U45" s="122"/>
    </row>
    <row r="46" spans="1:21" ht="12.75">
      <c r="A46" t="s">
        <v>123</v>
      </c>
      <c r="B46" s="23">
        <v>12</v>
      </c>
      <c r="C46" s="23">
        <v>20</v>
      </c>
      <c r="D46" s="23">
        <v>6.5</v>
      </c>
      <c r="E46" s="23">
        <v>1</v>
      </c>
      <c r="F46" s="23">
        <v>0.93</v>
      </c>
      <c r="G46" s="23">
        <v>47</v>
      </c>
      <c r="H46" s="23">
        <v>0.01</v>
      </c>
      <c r="I46" s="23">
        <v>8000</v>
      </c>
      <c r="J46" s="23">
        <v>0.001</v>
      </c>
      <c r="K46" s="118">
        <f>(C46-B46)*D46*F46/200</f>
        <v>0.2418</v>
      </c>
      <c r="L46" s="118">
        <f>(B46+C46)*pi2/40</f>
        <v>5.02656</v>
      </c>
      <c r="M46" s="23">
        <v>0.017</v>
      </c>
      <c r="N46" s="23">
        <v>0.022</v>
      </c>
      <c r="O46" s="23">
        <v>0.02</v>
      </c>
      <c r="P46" s="118">
        <f>(360/pi2)*ACOS(((N46*N46-H46*H46-M46*M46)/(2*M46*H46)+(H46*H46+M46*M46-O46*O46)/(2*M46*H46))/2)</f>
        <v>82.90396704084321</v>
      </c>
      <c r="Q46" s="63">
        <f>sqrt2*I46/(((B46+C46)*pi2/40)*1000)</f>
        <v>2.250785527077119</v>
      </c>
      <c r="R46" s="109">
        <f>1000*H46*sqrt2/(G46*pi2*f_test*((C46-B46)*D46/200)/10000)</f>
        <v>36.837733667383276</v>
      </c>
      <c r="S46" s="109">
        <f>R46/(100000*Q46*mu_0)</f>
        <v>130.30742126825606</v>
      </c>
      <c r="T46" s="109">
        <f>H46*1000000/(G46*I46*pi2*f_test)</f>
        <v>8.465668665918978E-05</v>
      </c>
      <c r="U46" s="122"/>
    </row>
    <row r="47" spans="1:21" ht="12.75">
      <c r="A47" t="s">
        <v>123</v>
      </c>
      <c r="B47" s="23">
        <v>12</v>
      </c>
      <c r="C47" s="23">
        <v>20</v>
      </c>
      <c r="D47" s="23">
        <v>6.5</v>
      </c>
      <c r="E47" s="23">
        <v>1</v>
      </c>
      <c r="F47" s="23">
        <v>0.93</v>
      </c>
      <c r="G47" s="23">
        <v>47</v>
      </c>
      <c r="H47" s="23">
        <v>0.021</v>
      </c>
      <c r="I47" s="23">
        <v>15800</v>
      </c>
      <c r="J47" s="23">
        <v>0.001</v>
      </c>
      <c r="K47" s="118">
        <f>(C47-B47)*D47*F47/200</f>
        <v>0.2418</v>
      </c>
      <c r="L47" s="118">
        <f>(B47+C47)*pi2/40</f>
        <v>5.02656</v>
      </c>
      <c r="M47" s="23">
        <v>0.035</v>
      </c>
      <c r="N47" s="23">
        <v>0.047</v>
      </c>
      <c r="O47" s="23">
        <v>0.042</v>
      </c>
      <c r="P47" s="118">
        <f>(360/pi2)*ACOS(((N47*N47-H47*H47-M47*M47)/(2*M47*H47)+(H47*H47+M47*M47-O47*O47)/(2*M47*H47))/2)</f>
        <v>81.29402958349175</v>
      </c>
      <c r="Q47" s="63">
        <f>sqrt2*I47/(((B47+C47)*pi2/40)*1000)</f>
        <v>4.445301415977309</v>
      </c>
      <c r="R47" s="109">
        <f>1000*H47*sqrt2/(G47*pi2*f_test*((C47-B47)*D47/200)/10000)</f>
        <v>77.35924070150489</v>
      </c>
      <c r="S47" s="109">
        <f>R47/(100000*Q47*mu_0)</f>
        <v>138.55472641181657</v>
      </c>
      <c r="T47" s="109">
        <f>H47*1000000/(G47*I47*pi2*f_test)</f>
        <v>9.001470480217648E-05</v>
      </c>
      <c r="U47" s="122"/>
    </row>
    <row r="48" spans="1:21" ht="12.75">
      <c r="A48" t="s">
        <v>122</v>
      </c>
      <c r="B48" s="23">
        <v>13.5</v>
      </c>
      <c r="C48" s="23">
        <v>24</v>
      </c>
      <c r="D48" s="23">
        <v>7.5</v>
      </c>
      <c r="E48" s="23">
        <v>1</v>
      </c>
      <c r="F48" s="23">
        <v>0.93</v>
      </c>
      <c r="G48" s="23">
        <v>25</v>
      </c>
      <c r="H48" s="23">
        <v>0.001</v>
      </c>
      <c r="I48" s="23">
        <v>1000</v>
      </c>
      <c r="J48" s="23">
        <v>0.001</v>
      </c>
      <c r="K48" s="118">
        <f>(C48-B48)*D48*F48/200</f>
        <v>0.3661875</v>
      </c>
      <c r="L48" s="118">
        <f>(B48+C48)*pi2/40</f>
        <v>5.8905</v>
      </c>
      <c r="M48" s="23">
        <v>0.0025</v>
      </c>
      <c r="N48" s="23">
        <v>0.0026</v>
      </c>
      <c r="O48" s="23">
        <v>0.0025</v>
      </c>
      <c r="P48" s="118">
        <f>(360/pi2)*ACOS(((N48*N48-H48*H48-M48*M48)/(2*M48*H48)+(H48*H48+M48*M48-O48*O48)/(2*M48*H48))/2)</f>
        <v>87.07644341355247</v>
      </c>
      <c r="Q48" s="63">
        <f>sqrt2*I48/(((B48+C48)*pi2/40)*1000)</f>
        <v>0.24008378955489265</v>
      </c>
      <c r="R48" s="109">
        <f>1000*H48*sqrt2/(G48*pi2*f_test*((C48-B48)*D48/200)/10000)</f>
        <v>4.573024562950337</v>
      </c>
      <c r="S48" s="109">
        <f>R48/(100000*Q48*mu_0)</f>
        <v>151.65301789505617</v>
      </c>
      <c r="T48" s="109">
        <f>H48*1000000/(G48*I48*pi2*f_test)</f>
        <v>0.00012732365673542143</v>
      </c>
      <c r="U48" s="122"/>
    </row>
    <row r="49" spans="1:21" ht="12.75">
      <c r="A49" t="s">
        <v>122</v>
      </c>
      <c r="B49" s="23">
        <v>13.5</v>
      </c>
      <c r="C49" s="23">
        <v>24</v>
      </c>
      <c r="D49" s="23">
        <v>7.5</v>
      </c>
      <c r="E49" s="23">
        <v>1</v>
      </c>
      <c r="F49" s="23">
        <v>0.93</v>
      </c>
      <c r="G49" s="23">
        <v>25</v>
      </c>
      <c r="H49" s="23">
        <v>0.0035</v>
      </c>
      <c r="I49" s="23">
        <v>3000</v>
      </c>
      <c r="J49" s="23">
        <v>0.001</v>
      </c>
      <c r="K49" s="118">
        <f>(C49-B49)*D49*F49/200</f>
        <v>0.3661875</v>
      </c>
      <c r="L49" s="118">
        <f>(B49+C49)*pi2/40</f>
        <v>5.8905</v>
      </c>
      <c r="M49" s="23">
        <v>0.007</v>
      </c>
      <c r="N49" s="23">
        <v>0.0085</v>
      </c>
      <c r="O49" s="23">
        <v>0.0077</v>
      </c>
      <c r="P49" s="118">
        <f>(360/pi2)*ACOS(((N49*N49-H49*H49-M49*M49)/(2*M49*H49)+(H49*H49+M49*M49-O49*O49)/(2*M49*H49))/2)</f>
        <v>82.4004716069868</v>
      </c>
      <c r="Q49" s="63">
        <f>sqrt2*I49/(((B49+C49)*pi2/40)*1000)</f>
        <v>0.720251368664678</v>
      </c>
      <c r="R49" s="109">
        <f>1000*H49*sqrt2/(G49*pi2*f_test*((C49-B49)*D49/200)/10000)</f>
        <v>16.00558597032618</v>
      </c>
      <c r="S49" s="109">
        <f>R49/(100000*Q49*mu_0)</f>
        <v>176.9285208775655</v>
      </c>
      <c r="T49" s="109">
        <f>H49*1000000/(G49*I49*pi2*f_test)</f>
        <v>0.00014854426619132502</v>
      </c>
      <c r="U49" s="122"/>
    </row>
    <row r="50" spans="1:21" ht="12.75">
      <c r="A50" t="s">
        <v>122</v>
      </c>
      <c r="B50" s="23">
        <v>13.5</v>
      </c>
      <c r="C50" s="23">
        <v>24</v>
      </c>
      <c r="D50" s="23">
        <v>7.5</v>
      </c>
      <c r="E50" s="23">
        <v>1</v>
      </c>
      <c r="F50" s="23">
        <v>0.93</v>
      </c>
      <c r="G50" s="23">
        <v>25</v>
      </c>
      <c r="H50" s="23">
        <v>0.0085</v>
      </c>
      <c r="I50" s="23">
        <v>6300</v>
      </c>
      <c r="J50" s="23">
        <v>0.001</v>
      </c>
      <c r="K50" s="118">
        <f>(C50-B50)*D50*F50/200</f>
        <v>0.3661875</v>
      </c>
      <c r="L50" s="118">
        <f>(B50+C50)*pi2/40</f>
        <v>5.8905</v>
      </c>
      <c r="M50" s="23">
        <v>0.014</v>
      </c>
      <c r="N50" s="23">
        <v>0.018</v>
      </c>
      <c r="O50" s="23">
        <v>0.016</v>
      </c>
      <c r="P50" s="118">
        <f>(360/pi2)*ACOS(((N50*N50-H50*H50-M50*M50)/(2*M50*H50)+(H50*H50+M50*M50-O50*O50)/(2*M50*H50))/2)</f>
        <v>81.78659804561867</v>
      </c>
      <c r="Q50" s="63">
        <f>sqrt2*I50/(((B50+C50)*pi2/40)*1000)</f>
        <v>1.5125278741958237</v>
      </c>
      <c r="R50" s="109">
        <f>1000*H50*sqrt2/(G50*pi2*f_test*((C50-B50)*D50/200)/10000)</f>
        <v>38.870708785077866</v>
      </c>
      <c r="S50" s="109">
        <f>R50/(100000*Q50*mu_0)</f>
        <v>204.6112146203139</v>
      </c>
      <c r="T50" s="109">
        <f>H50*1000000/(G50*I50*pi2*f_test)</f>
        <v>0.00017178588607160035</v>
      </c>
      <c r="U50" s="122" t="s">
        <v>183</v>
      </c>
    </row>
    <row r="51" spans="1:21" ht="12.75">
      <c r="A51" t="s">
        <v>122</v>
      </c>
      <c r="B51" s="23">
        <v>13.5</v>
      </c>
      <c r="C51" s="23">
        <v>24</v>
      </c>
      <c r="D51" s="23">
        <v>7.5</v>
      </c>
      <c r="E51" s="23">
        <v>1</v>
      </c>
      <c r="F51" s="23">
        <v>0.93</v>
      </c>
      <c r="G51" s="23">
        <v>25</v>
      </c>
      <c r="H51" s="23">
        <v>0.0175</v>
      </c>
      <c r="I51" s="23">
        <v>9100</v>
      </c>
      <c r="J51" s="23">
        <v>0.001</v>
      </c>
      <c r="K51" s="118">
        <f>(C51-B51)*D51*F51/200</f>
        <v>0.3661875</v>
      </c>
      <c r="L51" s="118">
        <f>(B51+C51)*pi2/40</f>
        <v>5.8905</v>
      </c>
      <c r="M51" s="23">
        <v>0.0198</v>
      </c>
      <c r="N51" s="23">
        <v>0.028</v>
      </c>
      <c r="O51" s="23">
        <v>0.023</v>
      </c>
      <c r="P51" s="118">
        <f>(360/pi2)*ACOS(((N51*N51-H51*H51-M51*M51)/(2*M51*H51)+(H51*H51+M51*M51-O51*O51)/(2*M51*H51))/2)</f>
        <v>79.39798789014522</v>
      </c>
      <c r="Q51" s="63">
        <f>sqrt2*I51/(((B51+C51)*pi2/40)*1000)</f>
        <v>2.1847624849495233</v>
      </c>
      <c r="R51" s="109">
        <f>1000*H51*sqrt2/(G51*pi2*f_test*((C51-B51)*D51/200)/10000)</f>
        <v>80.0279298516309</v>
      </c>
      <c r="S51" s="109">
        <f>R51/(100000*Q51*mu_0)</f>
        <v>291.6404190289541</v>
      </c>
      <c r="T51" s="109">
        <f>H51*1000000/(G51*I51*pi2*f_test)</f>
        <v>0.00024485318602965664</v>
      </c>
      <c r="U51" s="122" t="s">
        <v>184</v>
      </c>
    </row>
    <row r="52" spans="1:21" ht="12.75">
      <c r="A52" t="s">
        <v>185</v>
      </c>
      <c r="B52" s="23">
        <v>18</v>
      </c>
      <c r="C52" s="23">
        <v>28</v>
      </c>
      <c r="D52" s="23">
        <v>10</v>
      </c>
      <c r="E52" s="23">
        <v>1</v>
      </c>
      <c r="F52" s="23">
        <v>0.93</v>
      </c>
      <c r="G52" s="23">
        <v>300</v>
      </c>
      <c r="H52" s="23">
        <f>(0.032+0.041+0.04)/3</f>
        <v>0.037666666666666675</v>
      </c>
      <c r="I52" s="23">
        <v>50</v>
      </c>
      <c r="J52" s="23">
        <f>13.2/300</f>
        <v>0.044</v>
      </c>
      <c r="K52" s="118">
        <f>(C52-B52)*D52*F52/200</f>
        <v>0.465</v>
      </c>
      <c r="L52" s="118">
        <f>(B52+C52)*pi2/40</f>
        <v>7.22568</v>
      </c>
      <c r="M52" s="110">
        <f>(0.0375+0.04+0.038)/3</f>
        <v>0.0385</v>
      </c>
      <c r="N52" s="110">
        <f>(0.059+0.068+0.067)/3</f>
        <v>0.06466666666666666</v>
      </c>
      <c r="O52" s="110">
        <f>(0.033+0.042+0.038)/3</f>
        <v>0.037666666666666675</v>
      </c>
      <c r="P52" s="118">
        <f>(360/pi2)*ACOS(((N52*N52-H52*H52-M52*M52)/(2*M52*H52)+(H52*H52+M52*M52-O52*O52)/(2*M52*H52))/2)</f>
        <v>61.554228951694135</v>
      </c>
      <c r="Q52" s="63">
        <f>sqrt2*I52/(((B52+C52)*pi2/40)*1000)</f>
        <v>0.009786024030770082</v>
      </c>
      <c r="R52" s="109">
        <f>1000*H52*sqrt2/(G52*pi2*f_test*((C52-B52)*D52/200)/10000)</f>
        <v>11.303945091542865</v>
      </c>
      <c r="S52" s="109">
        <f>R52/(100000*Q52*mu_0)</f>
        <v>9196.744515215854</v>
      </c>
      <c r="T52" s="109">
        <f>H52*1000000/(G52*I52*pi2*f_test)</f>
        <v>0.007993096228390346</v>
      </c>
      <c r="U52" s="122"/>
    </row>
    <row r="53" spans="1:21" ht="12.75">
      <c r="A53" t="s">
        <v>185</v>
      </c>
      <c r="B53" s="23">
        <v>18</v>
      </c>
      <c r="C53" s="23">
        <v>28</v>
      </c>
      <c r="D53" s="23">
        <v>10</v>
      </c>
      <c r="E53" s="23">
        <v>1</v>
      </c>
      <c r="F53" s="23">
        <v>0.93</v>
      </c>
      <c r="G53" s="23">
        <v>300</v>
      </c>
      <c r="H53" s="23">
        <f>(0.266+0.276+0.28)/3</f>
        <v>0.274</v>
      </c>
      <c r="I53" s="23">
        <v>200</v>
      </c>
      <c r="J53" s="23">
        <f>13.2/300</f>
        <v>0.044</v>
      </c>
      <c r="K53" s="118">
        <f>(C53-B53)*D53*F53/200</f>
        <v>0.465</v>
      </c>
      <c r="L53" s="118">
        <f>(B53+C53)*pi2/40</f>
        <v>7.22568</v>
      </c>
      <c r="M53" s="110">
        <f>(0.15+0.158+0.15)/3</f>
        <v>0.15266666666666664</v>
      </c>
      <c r="N53" s="110">
        <f>(0.375+0.38+0.386)/3</f>
        <v>0.38033333333333336</v>
      </c>
      <c r="O53" s="110">
        <f>(0.213+0.238+0.238)/3</f>
        <v>0.22966666666666666</v>
      </c>
      <c r="P53" s="118">
        <f>(360/pi2)*ACOS(((N53*N53-H53*H53-M53*M53)/(2*M53*H53)+(H53*H53+M53*M53-O53*O53)/(2*M53*H53))/2)</f>
        <v>56.68236975496688</v>
      </c>
      <c r="Q53" s="63">
        <f>sqrt2*I53/(((B53+C53)*pi2/40)*1000)</f>
        <v>0.03914409612308033</v>
      </c>
      <c r="R53" s="109">
        <f>1000*H53*sqrt2/(G53*pi2*f_test*((C53-B53)*D53/200)/10000)</f>
        <v>82.22869792255074</v>
      </c>
      <c r="S53" s="109">
        <f>R53/(100000*Q53*mu_0)</f>
        <v>16725.053078556262</v>
      </c>
      <c r="T53" s="109">
        <f>H53*1000000/(G53*I53*pi2*f_test)</f>
        <v>0.014536117477293949</v>
      </c>
      <c r="U53" s="122"/>
    </row>
    <row r="54" spans="1:21" ht="12.75">
      <c r="A54" t="s">
        <v>185</v>
      </c>
      <c r="B54" s="23">
        <v>18</v>
      </c>
      <c r="C54" s="23">
        <v>28</v>
      </c>
      <c r="D54" s="23">
        <v>10</v>
      </c>
      <c r="E54" s="23">
        <v>1</v>
      </c>
      <c r="F54" s="23">
        <v>0.93</v>
      </c>
      <c r="G54" s="23">
        <v>300</v>
      </c>
      <c r="H54" s="23">
        <f>(1.22+1.23)/2</f>
        <v>1.225</v>
      </c>
      <c r="I54" s="23">
        <v>600</v>
      </c>
      <c r="J54" s="23">
        <f>13.2/300</f>
        <v>0.044</v>
      </c>
      <c r="K54" s="118">
        <f>(C54-B54)*D54*F54/200</f>
        <v>0.465</v>
      </c>
      <c r="L54" s="118">
        <f>(B54+C54)*pi2/40</f>
        <v>7.22568</v>
      </c>
      <c r="M54" s="110">
        <f>(0.473+0.478)/2</f>
        <v>0.4755</v>
      </c>
      <c r="N54" s="110">
        <v>1.58</v>
      </c>
      <c r="O54" s="110">
        <f>(0.955+1)/2</f>
        <v>0.9775</v>
      </c>
      <c r="P54" s="118">
        <f>(360/pi2)*ACOS(((N54*N54-H54*H54-M54*M54)/(2*M54*H54)+(H54*H54+M54*M54-O54*O54)/(2*M54*H54))/2)</f>
        <v>48.59758594456773</v>
      </c>
      <c r="Q54" s="63">
        <f>sqrt2*I54/(((B54+C54)*pi2/40)*1000)</f>
        <v>0.11743228836924098</v>
      </c>
      <c r="R54" s="109">
        <f>1000*H54*sqrt2/(G54*pi2*f_test*((C54-B54)*D54/200)/10000)</f>
        <v>367.6283027559294</v>
      </c>
      <c r="S54" s="109">
        <f>R54/(100000*Q54*mu_0)</f>
        <v>24924.805378627036</v>
      </c>
      <c r="T54" s="109">
        <f>H54*1000000/(G54*I54*pi2*f_test)</f>
        <v>0.021662705486234897</v>
      </c>
      <c r="U54" s="122"/>
    </row>
    <row r="55" spans="1:21" ht="12.75">
      <c r="A55" t="s">
        <v>185</v>
      </c>
      <c r="B55" s="23">
        <v>18</v>
      </c>
      <c r="C55" s="23">
        <v>28</v>
      </c>
      <c r="D55" s="23">
        <v>10</v>
      </c>
      <c r="E55" s="23">
        <v>1</v>
      </c>
      <c r="F55" s="23">
        <v>0.93</v>
      </c>
      <c r="G55" s="23">
        <v>300</v>
      </c>
      <c r="H55" s="23">
        <f>(2.68+2.75+2.25)/3</f>
        <v>2.56</v>
      </c>
      <c r="I55" s="23">
        <v>1000</v>
      </c>
      <c r="J55" s="23">
        <f>13.2/300</f>
        <v>0.044</v>
      </c>
      <c r="K55" s="118">
        <f>(C55-B55)*D55*F55/200</f>
        <v>0.465</v>
      </c>
      <c r="L55" s="118">
        <f>(B55+C55)*pi2/40</f>
        <v>7.22568</v>
      </c>
      <c r="M55" s="110">
        <f>(0.795+0.81+0.82)/3</f>
        <v>0.8083333333333332</v>
      </c>
      <c r="N55" s="110">
        <f>(3.35+3.42+3.35)/3</f>
        <v>3.373333333333333</v>
      </c>
      <c r="O55" s="110">
        <f>(2.1+2.18+2.07)/3</f>
        <v>2.1166666666666667</v>
      </c>
      <c r="P55" s="118">
        <f>(360/pi2)*ACOS(((N55*N55-H55*H55-M55*M55)/(2*M55*H55)+(H55*H55+M55*M55-O55*O55)/(2*M55*H55))/2)</f>
        <v>33.54067034341489</v>
      </c>
      <c r="Q55" s="63">
        <f>sqrt2*I55/(((B55+C55)*pi2/40)*1000)</f>
        <v>0.19572048061540162</v>
      </c>
      <c r="R55" s="109">
        <f>1000*H55*sqrt2/(G55*pi2*f_test*((C55-B55)*D55/200)/10000)</f>
        <v>768.2681265756565</v>
      </c>
      <c r="S55" s="109">
        <f>R55/(100000*Q55*mu_0)</f>
        <v>31252.653927813168</v>
      </c>
      <c r="T55" s="109">
        <f>H55*1000000/(G55*I55*pi2*f_test)</f>
        <v>0.027162380103556573</v>
      </c>
      <c r="U55" s="122" t="s">
        <v>186</v>
      </c>
    </row>
    <row r="56" spans="1:21" ht="12.75">
      <c r="A56" t="s">
        <v>142</v>
      </c>
      <c r="B56" s="23">
        <v>18.5</v>
      </c>
      <c r="C56" s="23">
        <v>27.5</v>
      </c>
      <c r="D56" s="23">
        <v>13.5</v>
      </c>
      <c r="E56" s="23">
        <v>0.1</v>
      </c>
      <c r="F56" s="23">
        <v>0.93</v>
      </c>
      <c r="G56" s="23">
        <v>300</v>
      </c>
      <c r="H56" s="23">
        <f>(0.0225+0.0255)/2</f>
        <v>0.024</v>
      </c>
      <c r="I56" s="23">
        <v>10</v>
      </c>
      <c r="J56" s="23">
        <f>(13.2+13.3)/(2*300)</f>
        <v>0.04416666666666667</v>
      </c>
      <c r="K56" s="118">
        <f>(C56-B56)*D56*F56/200</f>
        <v>0.564975</v>
      </c>
      <c r="L56" s="118">
        <f>(B56+C56)*pi2/40</f>
        <v>7.22568</v>
      </c>
      <c r="M56" s="110">
        <f>(0.0072+0.0075)/2</f>
        <v>0.00735</v>
      </c>
      <c r="N56" s="110">
        <f>(0.02+0.028)/2</f>
        <v>0.024</v>
      </c>
      <c r="O56" s="110">
        <f>(0.02+0.025)/2</f>
        <v>0.0225</v>
      </c>
      <c r="P56" s="118">
        <f>(360/pi2)*ACOS(((N56*N56-H56*H56-M56*M56)/(2*M56*H56)+(H56*H56+M56*M56-O56*O56)/(2*M56*H56))/2)</f>
        <v>84.32673308225255</v>
      </c>
      <c r="Q56" s="63">
        <f>sqrt2*I56/(((B56+C56)*pi2/40)*1000)</f>
        <v>0.001957204806154016</v>
      </c>
      <c r="R56" s="109">
        <f>1000*H56*sqrt2/(G56*pi2*f_test*((C56-B56)*D56/200)/10000)</f>
        <v>5.927994803824509</v>
      </c>
      <c r="S56" s="109">
        <f>R56/(100000*Q56*mu_0)</f>
        <v>24114.70210479411</v>
      </c>
      <c r="T56" s="109">
        <f>H56*1000000/(G56*I56*pi2*f_test)</f>
        <v>0.025464731347084293</v>
      </c>
      <c r="U56" s="122"/>
    </row>
    <row r="57" spans="1:21" ht="12.75">
      <c r="A57" t="s">
        <v>142</v>
      </c>
      <c r="B57" s="23">
        <v>18.5</v>
      </c>
      <c r="C57" s="23">
        <v>27.5</v>
      </c>
      <c r="D57" s="23">
        <v>13.5</v>
      </c>
      <c r="E57" s="23">
        <v>0.1</v>
      </c>
      <c r="F57" s="23">
        <v>0.93</v>
      </c>
      <c r="G57" s="23">
        <v>300</v>
      </c>
      <c r="H57" s="23">
        <f>(0.0465+0.056)/2</f>
        <v>0.051250000000000004</v>
      </c>
      <c r="I57" s="23">
        <v>20</v>
      </c>
      <c r="J57" s="23">
        <f>(13.2+13.3)/(2*300)</f>
        <v>0.04416666666666667</v>
      </c>
      <c r="K57" s="118">
        <f>(C57-B57)*D57*F57/200</f>
        <v>0.564975</v>
      </c>
      <c r="L57" s="118">
        <f>(B57+C57)*pi2/40</f>
        <v>7.22568</v>
      </c>
      <c r="M57" s="110">
        <f>(0.015+0.015)/2</f>
        <v>0.015</v>
      </c>
      <c r="N57" s="110">
        <f>(0.0465+0.059)/2</f>
        <v>0.05275</v>
      </c>
      <c r="O57" s="110">
        <f>(0.044+0.055)/2</f>
        <v>0.0495</v>
      </c>
      <c r="P57" s="118">
        <f>(360/pi2)*ACOS(((N57*N57-H57*H57-M57*M57)/(2*M57*H57)+(H57*H57+M57*M57-O57*O57)/(2*M57*H57))/2)</f>
        <v>83.79578414142466</v>
      </c>
      <c r="Q57" s="63">
        <f>sqrt2*I57/(((B57+C57)*pi2/40)*1000)</f>
        <v>0.003914409612308032</v>
      </c>
      <c r="R57" s="109">
        <f>1000*H57*sqrt2/(G57*pi2*f_test*((C57-B57)*D57/200)/10000)</f>
        <v>12.658738904000256</v>
      </c>
      <c r="S57" s="109">
        <f>R57/(100000*Q57*mu_0)</f>
        <v>25747.468393139545</v>
      </c>
      <c r="T57" s="109">
        <f>H57*1000000/(G57*I57*pi2*f_test)</f>
        <v>0.02718890586537646</v>
      </c>
      <c r="U57" s="122"/>
    </row>
    <row r="58" spans="1:21" ht="12.75">
      <c r="A58" t="s">
        <v>142</v>
      </c>
      <c r="B58" s="23">
        <v>18.5</v>
      </c>
      <c r="C58" s="23">
        <v>27.5</v>
      </c>
      <c r="D58" s="23">
        <v>13.5</v>
      </c>
      <c r="E58" s="23">
        <v>0.1</v>
      </c>
      <c r="F58" s="23">
        <v>0.93</v>
      </c>
      <c r="G58" s="23">
        <v>300</v>
      </c>
      <c r="H58" s="23">
        <f>(0.091+0.126)/2</f>
        <v>0.1085</v>
      </c>
      <c r="I58" s="23">
        <v>35</v>
      </c>
      <c r="J58" s="23">
        <f>(13.2+13.3)/(2*300)</f>
        <v>0.04416666666666667</v>
      </c>
      <c r="K58" s="118">
        <f>(C58-B58)*D58*F58/200</f>
        <v>0.564975</v>
      </c>
      <c r="L58" s="118">
        <f>(B58+C58)*pi2/40</f>
        <v>7.22568</v>
      </c>
      <c r="M58" s="110">
        <v>0.027</v>
      </c>
      <c r="N58" s="110">
        <f>(0.097+0.135)/2</f>
        <v>0.116</v>
      </c>
      <c r="O58" s="110">
        <f>(0.087+0.118)/2</f>
        <v>0.1025</v>
      </c>
      <c r="P58" s="118">
        <f>(360/pi2)*ACOS(((N58*N58-H58*H58-M58*M58)/(2*M58*H58)+(H58*H58+M58*M58-O58*O58)/(2*M58*H58))/2)</f>
        <v>75.42002717656861</v>
      </c>
      <c r="Q58" s="63">
        <f>sqrt2*I58/(((B58+C58)*pi2/40)*1000)</f>
        <v>0.0068502168215390565</v>
      </c>
      <c r="R58" s="109">
        <f>1000*H58*sqrt2/(G58*pi2*f_test*((C58-B58)*D58/200)/10000)</f>
        <v>26.799476508956637</v>
      </c>
      <c r="S58" s="109">
        <f>R58/(100000*Q58*mu_0)</f>
        <v>31148.156885359054</v>
      </c>
      <c r="T58" s="109">
        <f>H58*1000000/(G58*I58*pi2*f_test)</f>
        <v>0.03289194465665053</v>
      </c>
      <c r="U58" s="122"/>
    </row>
    <row r="59" spans="1:21" ht="12.75">
      <c r="A59" t="s">
        <v>142</v>
      </c>
      <c r="B59" s="23">
        <v>18.5</v>
      </c>
      <c r="C59" s="23">
        <v>27.5</v>
      </c>
      <c r="D59" s="23">
        <v>13.5</v>
      </c>
      <c r="E59" s="23">
        <v>0.1</v>
      </c>
      <c r="F59" s="23">
        <v>0.93</v>
      </c>
      <c r="G59" s="23">
        <v>300</v>
      </c>
      <c r="H59" s="23">
        <f>(0.198+0.3)/2</f>
        <v>0.249</v>
      </c>
      <c r="I59" s="23">
        <v>60</v>
      </c>
      <c r="J59" s="23">
        <f>(13.2+13.3)/(2*300)</f>
        <v>0.04416666666666667</v>
      </c>
      <c r="K59" s="118">
        <f>(C59-B59)*D59*F59/200</f>
        <v>0.564975</v>
      </c>
      <c r="L59" s="118">
        <f>(B59+C59)*pi2/40</f>
        <v>7.22568</v>
      </c>
      <c r="M59" s="110">
        <f>(0.047+0.046)/2</f>
        <v>0.0465</v>
      </c>
      <c r="N59" s="110">
        <f>(0.213+0.335)/2</f>
        <v>0.274</v>
      </c>
      <c r="O59" s="110">
        <f>(0.184+0.29)/2</f>
        <v>0.237</v>
      </c>
      <c r="P59" s="118">
        <f>(360/pi2)*ACOS(((N59*N59-H59*H59-M59*M59)/(2*M59*H59)+(H59*H59+M59*M59-O59*O59)/(2*M59*H59))/2)</f>
        <v>65.90583179109498</v>
      </c>
      <c r="Q59" s="63">
        <f>sqrt2*I59/(((B59+C59)*pi2/40)*1000)</f>
        <v>0.011743228836924097</v>
      </c>
      <c r="R59" s="109">
        <f>1000*H59*sqrt2/(G59*pi2*f_test*((C59-B59)*D59/200)/10000)</f>
        <v>61.50294608967928</v>
      </c>
      <c r="S59" s="109">
        <f>R59/(100000*Q59*mu_0)</f>
        <v>41698.339056206474</v>
      </c>
      <c r="T59" s="109">
        <f>H59*1000000/(G59*I59*pi2*f_test)</f>
        <v>0.04403276462099991</v>
      </c>
      <c r="U59" s="122" t="s">
        <v>186</v>
      </c>
    </row>
    <row r="60" spans="1:21" ht="12.75">
      <c r="A60" t="s">
        <v>140</v>
      </c>
      <c r="B60" s="23">
        <v>18</v>
      </c>
      <c r="C60" s="23">
        <v>28</v>
      </c>
      <c r="D60" s="23">
        <v>10</v>
      </c>
      <c r="E60" s="23">
        <v>1</v>
      </c>
      <c r="F60" s="23">
        <v>0.93</v>
      </c>
      <c r="G60" s="23">
        <v>300</v>
      </c>
      <c r="H60" s="23">
        <v>0.0005</v>
      </c>
      <c r="I60" s="23">
        <v>50</v>
      </c>
      <c r="J60" s="23">
        <v>0.044</v>
      </c>
      <c r="K60" s="122"/>
      <c r="L60" s="122"/>
      <c r="M60" s="122"/>
      <c r="N60" s="122"/>
      <c r="O60" s="122"/>
      <c r="P60" s="122">
        <v>61.55422895169412</v>
      </c>
      <c r="Q60" s="63">
        <f>sqrt2*I60/(((B60+C60)*pi2/40)*1000)</f>
        <v>0.009786024030770082</v>
      </c>
      <c r="R60" s="109">
        <f>1000*H60*sqrt2/(G60*pi2*f_test*((C60-B60)*D60/200)/10000)</f>
        <v>0.15005236847180792</v>
      </c>
      <c r="U60" s="122"/>
    </row>
    <row r="61" spans="1:18" ht="12.75">
      <c r="A61" t="s">
        <v>140</v>
      </c>
      <c r="B61" s="23">
        <v>18</v>
      </c>
      <c r="C61" s="23">
        <v>28</v>
      </c>
      <c r="D61" s="23">
        <v>10</v>
      </c>
      <c r="E61" s="23">
        <v>1</v>
      </c>
      <c r="F61" s="23">
        <v>0.93</v>
      </c>
      <c r="G61" s="23">
        <v>300</v>
      </c>
      <c r="H61" s="22">
        <v>0.023</v>
      </c>
      <c r="I61" s="23">
        <v>200</v>
      </c>
      <c r="J61" s="23">
        <v>0.044</v>
      </c>
      <c r="P61">
        <v>56.68236975496688</v>
      </c>
      <c r="Q61" s="63">
        <f>sqrt2*I61/(((B61+C61)*pi2/40)*1000)</f>
        <v>0.03914409612308033</v>
      </c>
      <c r="R61" s="109">
        <f>1000*H61*sqrt2/(G61*pi2*f_test*((C61-B61)*D61/200)/10000)</f>
        <v>6.9024089497031635</v>
      </c>
    </row>
    <row r="62" spans="1:18" ht="12.75">
      <c r="A62" t="s">
        <v>140</v>
      </c>
      <c r="B62" s="23">
        <v>18</v>
      </c>
      <c r="C62" s="23">
        <v>28</v>
      </c>
      <c r="D62" s="23">
        <v>10</v>
      </c>
      <c r="E62" s="23">
        <v>1</v>
      </c>
      <c r="F62" s="23">
        <v>0.93</v>
      </c>
      <c r="G62" s="23">
        <v>300</v>
      </c>
      <c r="H62" s="22">
        <v>0.5</v>
      </c>
      <c r="I62" s="23">
        <v>600</v>
      </c>
      <c r="J62" s="23">
        <v>0.044</v>
      </c>
      <c r="P62">
        <v>48.59758594456773</v>
      </c>
      <c r="Q62" s="63">
        <f>sqrt2*I62/(((B62+C62)*pi2/40)*1000)</f>
        <v>0.11743228836924098</v>
      </c>
      <c r="R62" s="109">
        <f>1000*H62*sqrt2/(G62*pi2*f_test*((C62-B62)*D62/200)/10000)</f>
        <v>150.0523684718079</v>
      </c>
    </row>
    <row r="63" spans="1:18" ht="12.75">
      <c r="A63" t="s">
        <v>140</v>
      </c>
      <c r="B63" s="23">
        <v>18</v>
      </c>
      <c r="C63" s="23">
        <v>28</v>
      </c>
      <c r="D63" s="23">
        <v>10</v>
      </c>
      <c r="E63" s="23">
        <v>1</v>
      </c>
      <c r="F63" s="23">
        <v>0.93</v>
      </c>
      <c r="G63" s="23">
        <v>300</v>
      </c>
      <c r="H63" s="22">
        <v>2.26</v>
      </c>
      <c r="I63" s="23">
        <v>1000</v>
      </c>
      <c r="J63" s="23">
        <v>0.044</v>
      </c>
      <c r="P63">
        <v>33.54067034341489</v>
      </c>
      <c r="Q63" s="63">
        <f>sqrt2*I63/(((B63+C63)*pi2/40)*1000)</f>
        <v>0.19572048061540162</v>
      </c>
      <c r="R63" s="109">
        <f>1000*H63*sqrt2/(G63*pi2*f_test*((C63-B63)*D63/200)/10000)</f>
        <v>678.2367054925718</v>
      </c>
    </row>
    <row r="64" spans="2:21" s="50" customFormat="1" ht="12.75">
      <c r="B64" s="50" t="s">
        <v>151</v>
      </c>
      <c r="C64" s="50" t="s">
        <v>152</v>
      </c>
      <c r="D64" s="50" t="s">
        <v>153</v>
      </c>
      <c r="E64" s="50" t="s">
        <v>154</v>
      </c>
      <c r="F64" s="50" t="s">
        <v>155</v>
      </c>
      <c r="G64" s="50" t="s">
        <v>156</v>
      </c>
      <c r="H64" s="34" t="s">
        <v>20</v>
      </c>
      <c r="I64" s="50" t="s">
        <v>157</v>
      </c>
      <c r="J64" s="50" t="s">
        <v>158</v>
      </c>
      <c r="K64" s="50" t="s">
        <v>159</v>
      </c>
      <c r="L64" s="50" t="s">
        <v>160</v>
      </c>
      <c r="M64" s="25" t="s">
        <v>161</v>
      </c>
      <c r="N64" s="25" t="s">
        <v>162</v>
      </c>
      <c r="O64" s="25" t="s">
        <v>163</v>
      </c>
      <c r="P64" s="50" t="s">
        <v>33</v>
      </c>
      <c r="Q64" s="50" t="s">
        <v>35</v>
      </c>
      <c r="R64" s="50" t="s">
        <v>22</v>
      </c>
      <c r="S64" s="50" t="s">
        <v>32</v>
      </c>
      <c r="T64" s="50" t="s">
        <v>147</v>
      </c>
      <c r="U64" s="50" t="s">
        <v>106</v>
      </c>
    </row>
    <row r="65" spans="2:21" s="50" customFormat="1" ht="12.75">
      <c r="B65" s="50" t="s">
        <v>164</v>
      </c>
      <c r="C65" s="50" t="s">
        <v>164</v>
      </c>
      <c r="D65" s="50" t="s">
        <v>164</v>
      </c>
      <c r="E65" s="50" t="s">
        <v>164</v>
      </c>
      <c r="G65" s="34" t="s">
        <v>165</v>
      </c>
      <c r="H65" s="50" t="s">
        <v>37</v>
      </c>
      <c r="I65" s="50" t="s">
        <v>38</v>
      </c>
      <c r="J65" s="50" t="s">
        <v>166</v>
      </c>
      <c r="K65" s="50" t="s">
        <v>167</v>
      </c>
      <c r="L65" s="50" t="s">
        <v>168</v>
      </c>
      <c r="M65" s="50" t="s">
        <v>169</v>
      </c>
      <c r="N65" s="50" t="s">
        <v>169</v>
      </c>
      <c r="O65" s="50" t="s">
        <v>169</v>
      </c>
      <c r="P65" s="50" t="s">
        <v>42</v>
      </c>
      <c r="Q65" s="50" t="s">
        <v>45</v>
      </c>
      <c r="R65" s="50" t="s">
        <v>39</v>
      </c>
      <c r="T65" s="50" t="s">
        <v>44</v>
      </c>
      <c r="U65" s="34"/>
    </row>
    <row r="66" spans="1:20" ht="12.75">
      <c r="A66" t="s">
        <v>187</v>
      </c>
      <c r="B66" s="23">
        <v>195</v>
      </c>
      <c r="C66" s="23">
        <v>235</v>
      </c>
      <c r="D66" s="23">
        <v>30</v>
      </c>
      <c r="E66" s="23">
        <v>0.2</v>
      </c>
      <c r="F66" s="23">
        <v>0.93</v>
      </c>
      <c r="G66" s="22">
        <v>850</v>
      </c>
      <c r="H66" s="22">
        <v>0.0024</v>
      </c>
      <c r="I66" s="23">
        <v>10</v>
      </c>
      <c r="J66" s="22">
        <f>1/G66</f>
        <v>0.001176470588235294</v>
      </c>
      <c r="K66" s="118">
        <f>(C66-B66)*D66*F66/200</f>
        <v>5.58</v>
      </c>
      <c r="L66" s="118">
        <f>(B66+C66)*pi2/40</f>
        <v>67.5444</v>
      </c>
      <c r="M66" s="22">
        <v>0.0102</v>
      </c>
      <c r="N66" s="22">
        <v>0.011</v>
      </c>
      <c r="O66" s="22">
        <v>0.0105</v>
      </c>
      <c r="P66" s="118">
        <f>(180/PI())*ACOS((N66*N66-O66*O66)/(4*M66*H66))</f>
        <v>83.69716474040105</v>
      </c>
      <c r="Q66" s="63">
        <f>sqrt2*I66/(((B66+C66)*pi2/40)*1000)</f>
        <v>0.00020937539786763896</v>
      </c>
      <c r="R66" s="109">
        <f>1000*H66*sqrt2/(G66*pi2*f_test*((C66-B66)*D66/200)/10000)</f>
        <v>0.021183863784255234</v>
      </c>
      <c r="S66" s="109">
        <f>R66/(100000*Q66*mu_0)</f>
        <v>805.545147995504</v>
      </c>
      <c r="T66" s="109">
        <f>H66*1000000/(G66*I66*pi2*f_test)</f>
        <v>0.0008987552240147396</v>
      </c>
    </row>
    <row r="67" spans="1:21" ht="12.75">
      <c r="A67" t="s">
        <v>187</v>
      </c>
      <c r="B67" s="23">
        <v>195</v>
      </c>
      <c r="C67" s="23">
        <v>235</v>
      </c>
      <c r="D67" s="23">
        <v>30</v>
      </c>
      <c r="E67" s="23">
        <v>0.2</v>
      </c>
      <c r="F67" s="23">
        <v>0.93</v>
      </c>
      <c r="G67" s="22">
        <v>850</v>
      </c>
      <c r="H67" s="22">
        <v>0.06</v>
      </c>
      <c r="I67" s="23">
        <v>200</v>
      </c>
      <c r="J67" s="23">
        <v>0.0012</v>
      </c>
      <c r="K67" s="118">
        <f>(C67-B67)*D67*F67/200</f>
        <v>5.58</v>
      </c>
      <c r="L67" s="118">
        <f>(B67+C67)*pi2/40</f>
        <v>67.5444</v>
      </c>
      <c r="M67" s="22">
        <v>0.195</v>
      </c>
      <c r="N67" s="22">
        <v>0.213</v>
      </c>
      <c r="O67" s="22">
        <v>0.193</v>
      </c>
      <c r="P67" s="118">
        <f>(180/PI())*ACOS((N67*N67-O67*O67)/(4*M67*H67))</f>
        <v>80.00837218732426</v>
      </c>
      <c r="Q67" s="63">
        <f>sqrt2*I67/(((B67+C67)*pi2/40)*1000)</f>
        <v>0.004187507957352779</v>
      </c>
      <c r="R67" s="109">
        <f>1000*H67*sqrt2/(G67*pi2*f_test*((C67-B67)*D67/200)/10000)</f>
        <v>0.5295965946063809</v>
      </c>
      <c r="S67" s="109">
        <f>R67/(100000*Q67*mu_0)</f>
        <v>1006.9314349943801</v>
      </c>
      <c r="T67" s="109">
        <f>H67*1000000/(G67*I67*pi2*f_test)</f>
        <v>0.0011234440300184245</v>
      </c>
      <c r="U67" s="122"/>
    </row>
    <row r="68" spans="1:20" ht="12.75">
      <c r="A68" t="s">
        <v>187</v>
      </c>
      <c r="B68" s="23">
        <v>195</v>
      </c>
      <c r="C68" s="23">
        <v>235</v>
      </c>
      <c r="D68" s="23">
        <v>30</v>
      </c>
      <c r="E68" s="23">
        <v>0.2</v>
      </c>
      <c r="F68" s="23">
        <v>0.93</v>
      </c>
      <c r="G68" s="22">
        <v>850</v>
      </c>
      <c r="H68" s="22">
        <v>2.8</v>
      </c>
      <c r="I68" s="22">
        <v>500</v>
      </c>
      <c r="J68" s="23">
        <v>0.0012</v>
      </c>
      <c r="K68" s="118">
        <f>(C68-B68)*D68*F68/200</f>
        <v>5.58</v>
      </c>
      <c r="L68" s="118">
        <f>(B68+C68)*pi2/40</f>
        <v>67.5444</v>
      </c>
      <c r="M68" s="22">
        <v>1.185</v>
      </c>
      <c r="N68" s="22">
        <v>3.7</v>
      </c>
      <c r="O68" s="22">
        <v>2.4</v>
      </c>
      <c r="P68" s="118">
        <f>(180/PI())*ACOS((N68*N68-O68*O68)/(4*M68*H68))</f>
        <v>53.30905029638216</v>
      </c>
      <c r="Q68" s="63">
        <f>sqrt2*I68/(((B68+C68)*pi2/40)*1000)</f>
        <v>0.010468769893381948</v>
      </c>
      <c r="R68" s="109">
        <f>1000*H68*sqrt2/(G68*pi2*f_test*((C68-B68)*D68/200)/10000)</f>
        <v>24.714507748297773</v>
      </c>
      <c r="S68" s="109">
        <f>R68/(100000*Q68*mu_0)</f>
        <v>18796.053453228425</v>
      </c>
      <c r="T68" s="109">
        <f>H68*1000000/(G68*I68*pi2*f_test)</f>
        <v>0.02097095522701059</v>
      </c>
    </row>
    <row r="69" spans="1:21" ht="12.75">
      <c r="A69" t="s">
        <v>187</v>
      </c>
      <c r="B69" s="23">
        <v>195</v>
      </c>
      <c r="C69" s="23">
        <v>235</v>
      </c>
      <c r="D69" s="23">
        <v>30</v>
      </c>
      <c r="E69" s="23">
        <v>0.2</v>
      </c>
      <c r="F69" s="23">
        <v>0.93</v>
      </c>
      <c r="G69" s="22">
        <v>850</v>
      </c>
      <c r="H69" s="22">
        <v>122</v>
      </c>
      <c r="I69" s="22">
        <v>7000</v>
      </c>
      <c r="J69" s="23">
        <v>0.0012</v>
      </c>
      <c r="K69" s="118">
        <f>(C69-B69)*D69*F69/200</f>
        <v>5.58</v>
      </c>
      <c r="L69" s="118">
        <f>(B69+C69)*pi2/40</f>
        <v>67.5444</v>
      </c>
      <c r="M69" s="22">
        <v>0.645</v>
      </c>
      <c r="N69" s="22">
        <v>122.7</v>
      </c>
      <c r="O69" s="22">
        <v>121.8</v>
      </c>
      <c r="P69" s="118">
        <f>(180/PI())*ACOS((N69*N69-O69*O69)/(4*M69*H69))</f>
        <v>45.6448317194852</v>
      </c>
      <c r="Q69" s="63">
        <f>sqrt2*I69/(((B69+C69)*pi2/40)*1000)</f>
        <v>0.14656277850734725</v>
      </c>
      <c r="R69" s="109">
        <f>1000*H69*sqrt2/(G69*pi2*f_test*((C69-B69)*D69/200)/10000)</f>
        <v>1076.8464090329744</v>
      </c>
      <c r="S69" s="109">
        <f>R69/(100000*Q69*mu_0)</f>
        <v>58497.92146157827</v>
      </c>
      <c r="T69" s="109">
        <f>H69*1000000/(G69*I69*pi2*f_test)</f>
        <v>0.06526674841059418</v>
      </c>
      <c r="U69" t="s">
        <v>186</v>
      </c>
    </row>
    <row r="70" spans="1:21" ht="12.75">
      <c r="A70" t="s">
        <v>188</v>
      </c>
      <c r="B70" s="22">
        <v>60</v>
      </c>
      <c r="C70" s="22">
        <v>70</v>
      </c>
      <c r="D70" s="22">
        <v>15</v>
      </c>
      <c r="E70" s="22">
        <v>0.1</v>
      </c>
      <c r="F70" s="22">
        <v>0.93</v>
      </c>
      <c r="G70" s="22">
        <v>600</v>
      </c>
      <c r="H70" s="22">
        <v>0.058</v>
      </c>
      <c r="I70" s="22">
        <v>50</v>
      </c>
      <c r="J70" s="22">
        <f>29.8/600</f>
        <v>0.049666666666666665</v>
      </c>
      <c r="K70" s="118">
        <f>(C70-B70)*D70*F70/200</f>
        <v>0.6975</v>
      </c>
      <c r="L70" s="118">
        <f>(B70+C70)*pi2/40</f>
        <v>20.4204</v>
      </c>
      <c r="M70" s="22">
        <v>0.025</v>
      </c>
      <c r="N70" s="22">
        <v>0.072</v>
      </c>
      <c r="O70" s="22">
        <v>0.051</v>
      </c>
      <c r="P70" s="118">
        <f>(180/PI())*ACOS((N70*N70-O70*O70)/(4*M70*H70))</f>
        <v>63.55459715607876</v>
      </c>
      <c r="Q70" s="63">
        <f>sqrt2*I70/(((B70+C70)*pi2/40)*1000)</f>
        <v>0.0034627469647340284</v>
      </c>
      <c r="R70" s="109">
        <f>1000*H70*sqrt2/(G70*pi2*f_test*((C70-B70)*D70/200)/10000)</f>
        <v>5.80202491424324</v>
      </c>
      <c r="S70" s="109">
        <f>R70/(100000*Q70*mu_0)</f>
        <v>13340.410474168439</v>
      </c>
      <c r="T70" s="109">
        <f>H70*1000000/(G70*I70*pi2*f_test)</f>
        <v>0.006153976742212036</v>
      </c>
      <c r="U70" t="s">
        <v>189</v>
      </c>
    </row>
    <row r="71" spans="1:20" ht="12.75">
      <c r="A71" t="s">
        <v>188</v>
      </c>
      <c r="B71" s="22">
        <v>60</v>
      </c>
      <c r="C71" s="22">
        <v>70</v>
      </c>
      <c r="D71" s="22">
        <v>15</v>
      </c>
      <c r="E71" s="22">
        <v>0.1</v>
      </c>
      <c r="F71" s="22">
        <v>0.93</v>
      </c>
      <c r="G71" s="22">
        <v>600</v>
      </c>
      <c r="H71" s="22">
        <v>0.349</v>
      </c>
      <c r="I71" s="22">
        <v>200</v>
      </c>
      <c r="J71" s="22">
        <v>0.049666666666666665</v>
      </c>
      <c r="K71" s="118">
        <f>(C71-B71)*D71*F71/200</f>
        <v>0.6975</v>
      </c>
      <c r="L71" s="118">
        <f>(B71+C71)*pi2/40</f>
        <v>20.4204</v>
      </c>
      <c r="M71" s="22">
        <v>0.093</v>
      </c>
      <c r="N71" s="22">
        <v>0.395</v>
      </c>
      <c r="O71" s="22">
        <v>0.322</v>
      </c>
      <c r="P71" s="118">
        <f>(180/PI())*ACOS((N71*N71-O71*O71)/(4*M71*H71))</f>
        <v>66.22434557837774</v>
      </c>
      <c r="Q71" s="63">
        <f>sqrt2*I71/(((B71+C71)*pi2/40)*1000)</f>
        <v>0.013850987858936114</v>
      </c>
      <c r="R71" s="109">
        <f>1000*H71*sqrt2/(G71*pi2*f_test*((C71-B71)*D71/200)/10000)</f>
        <v>34.91218439777397</v>
      </c>
      <c r="S71" s="109">
        <f>R71/(100000*Q71*mu_0)</f>
        <v>20068.11748053786</v>
      </c>
      <c r="T71" s="109">
        <f>H71*1000000/(G71*I71*pi2*f_test)</f>
        <v>0.009257490875137935</v>
      </c>
    </row>
    <row r="72" spans="1:20" ht="12.75">
      <c r="A72" t="s">
        <v>188</v>
      </c>
      <c r="B72" s="22">
        <v>60</v>
      </c>
      <c r="C72" s="22">
        <v>70</v>
      </c>
      <c r="D72" s="22">
        <v>15</v>
      </c>
      <c r="E72" s="22">
        <v>0.1</v>
      </c>
      <c r="F72" s="22">
        <v>0.93</v>
      </c>
      <c r="G72" s="22">
        <v>600</v>
      </c>
      <c r="H72" s="22">
        <v>1.98</v>
      </c>
      <c r="I72" s="22">
        <v>800</v>
      </c>
      <c r="J72" s="22">
        <v>0.049666666666666665</v>
      </c>
      <c r="K72" s="118">
        <f>(C72-B72)*D72*F72/200</f>
        <v>0.6975</v>
      </c>
      <c r="L72" s="118">
        <f>(B72+C72)*pi2/40</f>
        <v>20.4204</v>
      </c>
      <c r="M72" s="22">
        <v>0.383</v>
      </c>
      <c r="N72" s="22">
        <v>2.2</v>
      </c>
      <c r="O72" s="22">
        <v>1.82</v>
      </c>
      <c r="P72" s="118">
        <f>(180/PI())*ACOS((N72*N72-O72*O72)/(4*M72*H72))</f>
        <v>59.76154082948479</v>
      </c>
      <c r="Q72" s="63">
        <f>sqrt2*I72/(((B72+C72)*pi2/40)*1000)</f>
        <v>0.055403951435744454</v>
      </c>
      <c r="R72" s="109">
        <f>1000*H72*sqrt2/(G72*pi2*f_test*((C72-B72)*D72/200)/10000)</f>
        <v>198.06912638278644</v>
      </c>
      <c r="S72" s="109">
        <f>R72/(100000*Q72*mu_0)</f>
        <v>28463.375796178345</v>
      </c>
      <c r="T72" s="109">
        <f>H72*1000000/(G72*I72*pi2*f_test)</f>
        <v>0.013130252100840336</v>
      </c>
    </row>
    <row r="73" spans="1:20" ht="12.75">
      <c r="A73" t="s">
        <v>188</v>
      </c>
      <c r="B73" s="22">
        <v>60</v>
      </c>
      <c r="C73" s="22">
        <v>70</v>
      </c>
      <c r="D73" s="22">
        <v>15</v>
      </c>
      <c r="E73" s="22">
        <v>0.1</v>
      </c>
      <c r="F73" s="22">
        <v>0.93</v>
      </c>
      <c r="G73" s="22">
        <v>600</v>
      </c>
      <c r="H73" s="22">
        <v>6.95</v>
      </c>
      <c r="I73" s="22">
        <v>2000</v>
      </c>
      <c r="J73" s="22">
        <v>0.049666666666666665</v>
      </c>
      <c r="K73" s="118">
        <f>(C73-B73)*D73*F73/200</f>
        <v>0.6975</v>
      </c>
      <c r="L73" s="118">
        <f>(B73+C73)*pi2/40</f>
        <v>20.4204</v>
      </c>
      <c r="M73" s="22">
        <v>0.97</v>
      </c>
      <c r="N73" s="22">
        <v>7.6</v>
      </c>
      <c r="O73" s="22">
        <v>6.35</v>
      </c>
      <c r="P73" s="118">
        <f>(180/PI())*ACOS((N73*N73-O73*O73)/(4*M73*H73))</f>
        <v>49.71067817181011</v>
      </c>
      <c r="Q73" s="63">
        <f>sqrt2*I73/(((B73+C73)*pi2/40)*1000)</f>
        <v>0.13850987858936112</v>
      </c>
      <c r="R73" s="109">
        <f>1000*H73*sqrt2/(G73*pi2*f_test*((C73-B73)*D73/200)/10000)</f>
        <v>695.2426405860433</v>
      </c>
      <c r="S73" s="109">
        <f>R73/(100000*Q73*mu_0)</f>
        <v>39963.72965322011</v>
      </c>
      <c r="T73" s="109">
        <f>H73*1000000/(G73*I73*pi2*f_test)</f>
        <v>0.01843540446481623</v>
      </c>
    </row>
    <row r="74" spans="1:20" s="2" customFormat="1" ht="12.75">
      <c r="A74" s="2" t="s">
        <v>190</v>
      </c>
      <c r="B74" s="23">
        <v>63</v>
      </c>
      <c r="C74" s="23">
        <v>80</v>
      </c>
      <c r="D74" s="23">
        <v>25</v>
      </c>
      <c r="E74" s="23">
        <v>1</v>
      </c>
      <c r="F74" s="22">
        <v>0.93</v>
      </c>
      <c r="G74" s="22">
        <v>3000</v>
      </c>
      <c r="H74" s="22">
        <v>0.443</v>
      </c>
      <c r="I74" s="23">
        <v>10</v>
      </c>
      <c r="J74" s="23">
        <f>138/G74</f>
        <v>0.046</v>
      </c>
      <c r="K74" s="118">
        <f>(C74-B74)*D74*F74/200</f>
        <v>1.97625</v>
      </c>
      <c r="L74" s="118">
        <f>(B74+C74)*pi2/40</f>
        <v>22.46244</v>
      </c>
      <c r="M74" s="22">
        <v>1.13</v>
      </c>
      <c r="N74" s="22">
        <v>1.44</v>
      </c>
      <c r="O74" s="22">
        <v>1.12</v>
      </c>
      <c r="P74" s="118">
        <f>(180/PI())*ACOS((N74*N74-O74*O74)/(4*M74*H74))</f>
        <v>65.85060664180848</v>
      </c>
      <c r="Q74" s="63">
        <f>sqrt2*I74/(((B74+C74)*pi2/40)*1000)</f>
        <v>0.0006295903572243688</v>
      </c>
      <c r="R74" s="109">
        <f>1000*H74*sqrt2/(G74*pi2*f_test*((C74-B74)*D74/200)/10000)</f>
        <v>3.12815055214169</v>
      </c>
      <c r="S74" s="109">
        <f>R74/(100000*Q74*mu_0)</f>
        <v>39558.51130261023</v>
      </c>
      <c r="T74" s="109">
        <f>H74*1000000/(G74*I74*pi2*f_test)</f>
        <v>0.04700364994482641</v>
      </c>
    </row>
    <row r="75" spans="1:20" s="2" customFormat="1" ht="12.75">
      <c r="A75" s="2" t="s">
        <v>190</v>
      </c>
      <c r="B75" s="23">
        <v>63</v>
      </c>
      <c r="C75" s="23">
        <v>80</v>
      </c>
      <c r="D75" s="23">
        <v>25</v>
      </c>
      <c r="E75" s="23">
        <v>1</v>
      </c>
      <c r="F75" s="22">
        <v>0.93</v>
      </c>
      <c r="G75" s="22">
        <v>3000</v>
      </c>
      <c r="H75" s="22">
        <v>1.59</v>
      </c>
      <c r="I75" s="23">
        <v>30</v>
      </c>
      <c r="J75" s="23">
        <f>138/G75</f>
        <v>0.046</v>
      </c>
      <c r="K75" s="118">
        <f>(C75-B75)*D75*F75/200</f>
        <v>1.97625</v>
      </c>
      <c r="L75" s="118">
        <f>(B75+C75)*pi2/40</f>
        <v>22.46244</v>
      </c>
      <c r="M75" s="22">
        <v>6.2</v>
      </c>
      <c r="N75" s="22">
        <v>4.45</v>
      </c>
      <c r="O75" s="22">
        <v>2.86</v>
      </c>
      <c r="P75" s="118">
        <f>(180/PI())*ACOS((N75*N75-O75*O75)/(4*M75*H75))</f>
        <v>72.85696956745946</v>
      </c>
      <c r="Q75" s="63">
        <f>sqrt2*I75/(((B75+C75)*pi2/40)*1000)</f>
        <v>0.0018887710716731063</v>
      </c>
      <c r="R75" s="109">
        <f>1000*H75*sqrt2/(G75*pi2*f_test*((C75-B75)*D75/200)/10000)</f>
        <v>11.227447805655274</v>
      </c>
      <c r="S75" s="109">
        <f>R75/(100000*Q75*mu_0)</f>
        <v>47327.338578743605</v>
      </c>
      <c r="T75" s="109">
        <f>H75*1000000/(G75*I75*pi2*f_test)</f>
        <v>0.05623461505814447</v>
      </c>
    </row>
    <row r="76" spans="1:20" s="2" customFormat="1" ht="12.75">
      <c r="A76" s="2" t="s">
        <v>190</v>
      </c>
      <c r="B76" s="23">
        <v>63</v>
      </c>
      <c r="C76" s="23">
        <v>80</v>
      </c>
      <c r="D76" s="23">
        <v>25</v>
      </c>
      <c r="E76" s="23">
        <v>1</v>
      </c>
      <c r="F76" s="22">
        <v>0.93</v>
      </c>
      <c r="G76" s="22">
        <v>3000</v>
      </c>
      <c r="H76" s="22">
        <v>6.85</v>
      </c>
      <c r="I76" s="22">
        <v>100</v>
      </c>
      <c r="J76" s="23">
        <f>138/G76</f>
        <v>0.046</v>
      </c>
      <c r="K76" s="118">
        <f>(C76-B76)*D76*F76/200</f>
        <v>1.97625</v>
      </c>
      <c r="L76" s="118">
        <f>(B76+C76)*pi2/40</f>
        <v>22.46244</v>
      </c>
      <c r="M76" s="22">
        <v>11.15</v>
      </c>
      <c r="N76" s="22">
        <v>16.6</v>
      </c>
      <c r="O76" s="22">
        <v>7.35</v>
      </c>
      <c r="P76" s="118">
        <f>(180/PI())*ACOS((N76*N76-O76*O76)/(4*M76*H76))</f>
        <v>43.519510401152246</v>
      </c>
      <c r="Q76" s="63">
        <f>sqrt2*I76/(((B76+C76)*pi2/40)*1000)</f>
        <v>0.006295903572243688</v>
      </c>
      <c r="R76" s="109">
        <f>1000*H76*sqrt2/(G76*pi2*f_test*((C76-B76)*D76/200)/10000)</f>
        <v>48.36982230738278</v>
      </c>
      <c r="S76" s="109">
        <f>R76/(100000*Q76*mu_0)</f>
        <v>61168.35269139504</v>
      </c>
      <c r="T76" s="109">
        <f>H76*1000000/(G76*I76*pi2*f_test)</f>
        <v>0.07268058738646974</v>
      </c>
    </row>
    <row r="77" spans="1:20" s="2" customFormat="1" ht="12.75">
      <c r="A77" s="2" t="s">
        <v>190</v>
      </c>
      <c r="B77" s="23">
        <v>63</v>
      </c>
      <c r="C77" s="23">
        <v>80</v>
      </c>
      <c r="D77" s="23">
        <v>25</v>
      </c>
      <c r="E77" s="23">
        <v>1</v>
      </c>
      <c r="F77" s="22">
        <v>0.93</v>
      </c>
      <c r="G77" s="22">
        <v>3000</v>
      </c>
      <c r="H77" s="22">
        <v>33</v>
      </c>
      <c r="I77" s="22">
        <v>350</v>
      </c>
      <c r="J77" s="23">
        <f>138/G77</f>
        <v>0.046</v>
      </c>
      <c r="K77" s="118">
        <f>(C77-B77)*D77*F77/200</f>
        <v>1.97625</v>
      </c>
      <c r="L77" s="118">
        <f>(B77+C77)*pi2/40</f>
        <v>22.46244</v>
      </c>
      <c r="M77" s="22">
        <v>41.5</v>
      </c>
      <c r="N77" s="22">
        <v>74</v>
      </c>
      <c r="O77" s="22">
        <v>14</v>
      </c>
      <c r="P77" s="118">
        <f>(180/PI())*ACOS((N77*N77-O77*O77)/(4*M77*H77))</f>
        <v>15.451693430944532</v>
      </c>
      <c r="Q77" s="63">
        <f>sqrt2*I77/(((B77+C77)*pi2/40)*1000)</f>
        <v>0.022035662502852906</v>
      </c>
      <c r="R77" s="109">
        <f>1000*H77*sqrt2/(G77*pi2*f_test*((C77-B77)*D77/200)/10000)</f>
        <v>233.02250162680758</v>
      </c>
      <c r="S77" s="109">
        <f>R77/(100000*Q77*mu_0)</f>
        <v>84194.18722903176</v>
      </c>
      <c r="T77" s="109">
        <f>H77*1000000/(G77*I77*pi2*f_test)</f>
        <v>0.10004001600640255</v>
      </c>
    </row>
    <row r="78" spans="1:20" s="2" customFormat="1" ht="12.75">
      <c r="A78" s="2" t="s">
        <v>191</v>
      </c>
      <c r="B78" s="23">
        <v>195</v>
      </c>
      <c r="C78" s="23">
        <v>235</v>
      </c>
      <c r="D78" s="23">
        <v>30</v>
      </c>
      <c r="E78" s="23">
        <v>0.3</v>
      </c>
      <c r="F78" s="23">
        <v>0.93</v>
      </c>
      <c r="G78" s="22">
        <v>740</v>
      </c>
      <c r="H78" s="22">
        <v>0.092</v>
      </c>
      <c r="I78" s="22">
        <v>200</v>
      </c>
      <c r="J78" s="22">
        <v>0.0095</v>
      </c>
      <c r="K78" s="118">
        <f>(C78-B78)*D78*F78/200</f>
        <v>5.58</v>
      </c>
      <c r="L78" s="118">
        <f>(B78+C78)*pi2/40</f>
        <v>67.5444</v>
      </c>
      <c r="M78" s="22">
        <v>0.02</v>
      </c>
      <c r="N78" s="22">
        <v>0.115</v>
      </c>
      <c r="O78" s="22">
        <v>0.107</v>
      </c>
      <c r="P78" s="118">
        <f>(180/PI())*ACOS((N78*N78-O78*O78)/(4*M78*H78))</f>
        <v>76.03646318907973</v>
      </c>
      <c r="Q78" s="63">
        <f>sqrt2*I78/(((B78+C78)*pi2/40)*1000)</f>
        <v>0.004187507957352779</v>
      </c>
      <c r="R78" s="109">
        <f>1000*H78*sqrt2/(G78*pi2*f_test*((C78-B78)*D78/200)/10000)</f>
        <v>0.9327579661761031</v>
      </c>
      <c r="S78" s="109">
        <f>R78/(100000*Q78*mu_0)</f>
        <v>1773.4693292018133</v>
      </c>
      <c r="T78" s="109">
        <f>H78*1000000/(G78*I78*pi2*f_test)</f>
        <v>0.0019786784492666844</v>
      </c>
    </row>
    <row r="79" spans="1:20" s="2" customFormat="1" ht="12.75">
      <c r="A79" s="2" t="s">
        <v>192</v>
      </c>
      <c r="B79" s="23">
        <v>195</v>
      </c>
      <c r="C79" s="23">
        <v>235</v>
      </c>
      <c r="D79" s="23">
        <v>30</v>
      </c>
      <c r="E79" s="23">
        <v>0.3</v>
      </c>
      <c r="F79" s="23">
        <v>0.93</v>
      </c>
      <c r="G79" s="22">
        <v>740</v>
      </c>
      <c r="H79" s="22">
        <v>2.1</v>
      </c>
      <c r="I79" s="22">
        <v>700</v>
      </c>
      <c r="J79" s="22">
        <v>0.0095</v>
      </c>
      <c r="K79" s="118">
        <f>(C79-B79)*D79*F79/200</f>
        <v>5.58</v>
      </c>
      <c r="L79" s="118">
        <f>(B79+C79)*pi2/40</f>
        <v>67.5444</v>
      </c>
      <c r="M79" s="22">
        <v>0.71</v>
      </c>
      <c r="N79" s="22">
        <v>2.9</v>
      </c>
      <c r="O79" s="22">
        <v>1.67</v>
      </c>
      <c r="P79" s="118">
        <f>(180/PI())*ACOS((N79*N79-O79*O79)/(4*M79*H79))</f>
        <v>19.523409125603077</v>
      </c>
      <c r="Q79" s="63">
        <f>sqrt2*I79/(((B79+C79)*pi2/40)*1000)</f>
        <v>0.014656277850734726</v>
      </c>
      <c r="R79" s="109">
        <f>1000*H79*sqrt2/(G79*pi2*f_test*((C79-B79)*D79/200)/10000)</f>
        <v>21.291214445324094</v>
      </c>
      <c r="S79" s="109">
        <f>R79/(100000*Q79*mu_0)</f>
        <v>11566.104320881392</v>
      </c>
      <c r="T79" s="109">
        <f>H79*1000000/(G79*I79*pi2*f_test)</f>
        <v>0.01290442466913055</v>
      </c>
    </row>
    <row r="80" spans="1:20" s="2" customFormat="1" ht="12.75">
      <c r="A80" s="2" t="s">
        <v>192</v>
      </c>
      <c r="B80" s="23">
        <v>195</v>
      </c>
      <c r="C80" s="23">
        <v>235</v>
      </c>
      <c r="D80" s="23">
        <v>30</v>
      </c>
      <c r="E80" s="23">
        <v>0.3</v>
      </c>
      <c r="F80" s="23">
        <v>0.93</v>
      </c>
      <c r="G80" s="22">
        <v>740</v>
      </c>
      <c r="H80" s="22">
        <v>12.9</v>
      </c>
      <c r="I80" s="22">
        <v>2500</v>
      </c>
      <c r="J80" s="22">
        <v>0.0095</v>
      </c>
      <c r="K80" s="118">
        <f>(C80-B80)*D80*F80/200</f>
        <v>5.58</v>
      </c>
      <c r="L80" s="118">
        <f>(B80+C80)*pi2/40</f>
        <v>67.5444</v>
      </c>
      <c r="M80" s="22">
        <v>2.42</v>
      </c>
      <c r="N80" s="22">
        <v>15.1</v>
      </c>
      <c r="O80" s="22">
        <v>11.1</v>
      </c>
      <c r="P80" s="118">
        <f>(180/PI())*ACOS((N80*N80-O80*O80)/(4*M80*H80))</f>
        <v>32.93800330196849</v>
      </c>
      <c r="Q80" s="63">
        <f>sqrt2*I80/(((B80+C80)*pi2/40)*1000)</f>
        <v>0.05234384946690974</v>
      </c>
      <c r="R80" s="109">
        <f>1000*H80*sqrt2/(G80*pi2*f_test*((C80-B80)*D80/200)/10000)</f>
        <v>130.7888887355623</v>
      </c>
      <c r="S80" s="109">
        <f>R80/(100000*Q80*mu_0)</f>
        <v>19893.699431915993</v>
      </c>
      <c r="T80" s="109">
        <f>H80*1000000/(G80*I80*pi2*f_test)</f>
        <v>0.02219561043090455</v>
      </c>
    </row>
    <row r="81" spans="1:20" s="2" customFormat="1" ht="12.75">
      <c r="A81" s="2" t="s">
        <v>192</v>
      </c>
      <c r="B81" s="23">
        <v>195</v>
      </c>
      <c r="C81" s="23">
        <v>235</v>
      </c>
      <c r="D81" s="23">
        <v>30</v>
      </c>
      <c r="E81" s="23">
        <v>0.3</v>
      </c>
      <c r="F81" s="23">
        <v>0.93</v>
      </c>
      <c r="G81" s="22">
        <v>740</v>
      </c>
      <c r="H81" s="22">
        <v>69</v>
      </c>
      <c r="I81" s="22">
        <v>8000</v>
      </c>
      <c r="J81" s="22">
        <v>0.0095</v>
      </c>
      <c r="K81" s="118">
        <f>(C81-B81)*D81*F81/200</f>
        <v>5.58</v>
      </c>
      <c r="L81" s="118">
        <f>(B81+C81)*pi2/40</f>
        <v>67.5444</v>
      </c>
      <c r="M81" s="22">
        <v>42.7</v>
      </c>
      <c r="N81" s="22">
        <v>109</v>
      </c>
      <c r="O81" s="22">
        <v>35.8</v>
      </c>
      <c r="P81" s="118">
        <f>(180/PI())*ACOS((N81*N81-O81*O81)/(4*M81*H81))</f>
        <v>25.923456228145348</v>
      </c>
      <c r="Q81" s="63">
        <f>sqrt2*I81/(((B81+C81)*pi2/40)*1000)</f>
        <v>0.16750031829411116</v>
      </c>
      <c r="R81" s="109">
        <f>1000*H81*sqrt2/(G81*pi2*f_test*((C81-B81)*D81/200)/10000)</f>
        <v>699.5684746320774</v>
      </c>
      <c r="S81" s="109">
        <f>R81/(100000*Q81*mu_0)</f>
        <v>33252.549922533995</v>
      </c>
      <c r="T81" s="109">
        <f>H81*1000000/(G81*I81*pi2*f_test)</f>
        <v>0.037100220923750336</v>
      </c>
    </row>
    <row r="82" spans="1:20" s="2" customFormat="1" ht="12.75">
      <c r="A82" s="2" t="s">
        <v>193</v>
      </c>
      <c r="B82" s="23">
        <v>10.3</v>
      </c>
      <c r="C82" s="23">
        <f>B82+9.8</f>
        <v>20.1</v>
      </c>
      <c r="D82" s="23">
        <v>6.5</v>
      </c>
      <c r="E82" s="23">
        <v>0.2</v>
      </c>
      <c r="F82" s="23">
        <v>1</v>
      </c>
      <c r="J82" s="112"/>
      <c r="K82" s="118">
        <f>(C82-B82)*D82*F82/200</f>
        <v>0.3185</v>
      </c>
      <c r="L82" s="118">
        <f>(B82+C82)*pi2/40</f>
        <v>4.775232000000001</v>
      </c>
      <c r="P82" s="113"/>
      <c r="R82" s="34"/>
      <c r="S82" s="34"/>
      <c r="T82" s="34"/>
    </row>
    <row r="83" spans="1:22" s="2" customFormat="1" ht="12.75">
      <c r="A83" s="2" t="s">
        <v>194</v>
      </c>
      <c r="B83" s="112">
        <v>305</v>
      </c>
      <c r="C83" s="112">
        <v>335</v>
      </c>
      <c r="D83" s="112">
        <v>40</v>
      </c>
      <c r="E83" s="112">
        <v>0.5</v>
      </c>
      <c r="F83" s="112">
        <v>0.93</v>
      </c>
      <c r="G83" s="123" t="s">
        <v>156</v>
      </c>
      <c r="H83" s="124" t="s">
        <v>195</v>
      </c>
      <c r="I83" s="123" t="s">
        <v>157</v>
      </c>
      <c r="J83" s="123" t="s">
        <v>158</v>
      </c>
      <c r="K83" s="123" t="s">
        <v>159</v>
      </c>
      <c r="L83" s="123" t="s">
        <v>160</v>
      </c>
      <c r="M83" s="125" t="s">
        <v>196</v>
      </c>
      <c r="N83" s="125" t="s">
        <v>197</v>
      </c>
      <c r="O83" s="124"/>
      <c r="P83" s="123" t="s">
        <v>33</v>
      </c>
      <c r="Q83" s="123" t="s">
        <v>35</v>
      </c>
      <c r="R83" s="123" t="s">
        <v>22</v>
      </c>
      <c r="S83" s="123" t="s">
        <v>32</v>
      </c>
      <c r="T83" s="123" t="s">
        <v>147</v>
      </c>
      <c r="U83" s="123" t="s">
        <v>106</v>
      </c>
      <c r="V83" s="2" t="s">
        <v>198</v>
      </c>
    </row>
    <row r="84" spans="1:22" s="2" customFormat="1" ht="12.75">
      <c r="A84" s="2" t="s">
        <v>144</v>
      </c>
      <c r="B84" s="23">
        <v>30</v>
      </c>
      <c r="C84" s="23">
        <v>66</v>
      </c>
      <c r="D84" s="23">
        <v>23</v>
      </c>
      <c r="E84" s="23">
        <v>0</v>
      </c>
      <c r="F84" s="23">
        <v>0.93</v>
      </c>
      <c r="G84" s="22">
        <v>137</v>
      </c>
      <c r="H84" s="22">
        <v>1.01</v>
      </c>
      <c r="I84" s="22">
        <f>G84*3.3</f>
        <v>452.09999999999997</v>
      </c>
      <c r="J84" s="23">
        <v>0.8315</v>
      </c>
      <c r="K84" s="118">
        <f>(C84-B84)*D84*F84/200</f>
        <v>3.8502000000000005</v>
      </c>
      <c r="L84" s="118">
        <f>(B84+C84)*pi2/40</f>
        <v>15.07968</v>
      </c>
      <c r="M84" s="22">
        <v>0.508</v>
      </c>
      <c r="N84" s="22">
        <v>1.413</v>
      </c>
      <c r="O84" s="22"/>
      <c r="P84" s="126">
        <f>(180/PI())*ASIN((2/(M84*H84))*SQRT(V84*(V84-H84)*(V84-M84)*(V84-N84)))</f>
        <v>45.5657243582483</v>
      </c>
      <c r="Q84" s="63">
        <f>sqrt2*I84/(((B84+C84)*pi2/40)*1000)</f>
        <v>0.04239917236631522</v>
      </c>
      <c r="R84" s="109">
        <f>1000*H84*sqrt2/(G84*pi2*f_test*((C84-B84)*D84/200)/10000)</f>
        <v>80.16126740533481</v>
      </c>
      <c r="S84" s="109">
        <f>R84/(100000*Q84*mu_0)</f>
        <v>15052.809186988057</v>
      </c>
      <c r="T84" s="109">
        <f>H84*1000000/(G84*I84*pi2*f_test)</f>
        <v>0.05190574290891318</v>
      </c>
      <c r="V84" s="2">
        <f>(H84+N84+M84)/2</f>
        <v>1.4655</v>
      </c>
    </row>
    <row r="85" spans="1:22" s="2" customFormat="1" ht="12.75">
      <c r="A85" s="2" t="s">
        <v>144</v>
      </c>
      <c r="B85" s="23">
        <v>30</v>
      </c>
      <c r="C85" s="23">
        <v>66</v>
      </c>
      <c r="D85" s="23">
        <v>23</v>
      </c>
      <c r="E85" s="23">
        <v>0</v>
      </c>
      <c r="F85" s="23">
        <v>0.93</v>
      </c>
      <c r="G85" s="22">
        <v>137</v>
      </c>
      <c r="H85" s="22">
        <v>3</v>
      </c>
      <c r="I85" s="22">
        <f>G85*7.3</f>
        <v>1000.1</v>
      </c>
      <c r="J85" s="23">
        <v>0.8315</v>
      </c>
      <c r="K85" s="118">
        <f>(C85-B85)*D85*F85/200</f>
        <v>3.8502000000000005</v>
      </c>
      <c r="L85" s="118">
        <f>(B85+C85)*pi2/40</f>
        <v>15.07968</v>
      </c>
      <c r="M85" s="22">
        <v>1.1</v>
      </c>
      <c r="N85" s="22">
        <v>3.84</v>
      </c>
      <c r="O85" s="22"/>
      <c r="P85" s="126">
        <f>(180/PI())*ASIN((2/(M85*H85))*SQRT(V85*(V85-H85)*(V85-M85)*(V85-N85)))</f>
        <v>46.59017275192156</v>
      </c>
      <c r="Q85" s="63">
        <f>sqrt2*I85/(((B85+C85)*pi2/40)*1000)</f>
        <v>0.09379210856790943</v>
      </c>
      <c r="R85" s="109">
        <f>1000*H85*sqrt2/(G85*pi2*f_test*((C85-B85)*D85/200)/10000)</f>
        <v>238.10277447129153</v>
      </c>
      <c r="S85" s="109">
        <f>R85/(100000*Q85*mu_0)</f>
        <v>20211.964051428426</v>
      </c>
      <c r="T85" s="109">
        <f>H85*1000000/(G85*I85*pi2*f_test)</f>
        <v>0.06969576221324297</v>
      </c>
      <c r="V85" s="2">
        <f>(H85+N85+M85)/2</f>
        <v>3.9699999999999998</v>
      </c>
    </row>
    <row r="86" spans="1:22" s="2" customFormat="1" ht="12.75">
      <c r="A86" s="2" t="s">
        <v>144</v>
      </c>
      <c r="B86" s="23">
        <v>30</v>
      </c>
      <c r="C86" s="23">
        <v>66</v>
      </c>
      <c r="D86" s="23">
        <v>23</v>
      </c>
      <c r="E86" s="23">
        <v>0</v>
      </c>
      <c r="F86" s="23">
        <v>0.93</v>
      </c>
      <c r="G86" s="22">
        <v>137</v>
      </c>
      <c r="H86" s="22">
        <v>8.4</v>
      </c>
      <c r="I86" s="22">
        <f>G86*15.4</f>
        <v>2109.8</v>
      </c>
      <c r="J86" s="23">
        <v>0.8315</v>
      </c>
      <c r="K86" s="118">
        <f>(C86-B86)*D86*F86/200</f>
        <v>3.8502000000000005</v>
      </c>
      <c r="L86" s="118">
        <f>(B86+C86)*pi2/40</f>
        <v>15.07968</v>
      </c>
      <c r="M86" s="22">
        <v>2.364</v>
      </c>
      <c r="N86" s="22">
        <v>10.44</v>
      </c>
      <c r="O86" s="22"/>
      <c r="P86" s="126">
        <f>(180/PI())*ASIN((2/(M86*H86))*SQRT(V86*(V86-H86)*(V86-M86)*(V86-N86)))</f>
        <v>34.20658653067434</v>
      </c>
      <c r="Q86" s="63">
        <f>sqrt2*I86/(((B86+C86)*pi2/40)*1000)</f>
        <v>0.1978628043761377</v>
      </c>
      <c r="R86" s="109">
        <f>1000*H86*sqrt2/(G86*pi2*f_test*((C86-B86)*D86/200)/10000)</f>
        <v>666.6877685196163</v>
      </c>
      <c r="S86" s="109">
        <f>R86/(100000*Q86*mu_0)</f>
        <v>26826.788650077728</v>
      </c>
      <c r="T86" s="109">
        <f>H86*1000000/(G86*I86*pi2*f_test)</f>
        <v>0.09250528439212247</v>
      </c>
      <c r="V86" s="2">
        <f>(H86+N86+M86)/2</f>
        <v>10.602</v>
      </c>
    </row>
    <row r="87" spans="1:22" s="2" customFormat="1" ht="12.75">
      <c r="A87" s="2" t="s">
        <v>144</v>
      </c>
      <c r="B87" s="23">
        <v>30</v>
      </c>
      <c r="C87" s="23">
        <v>66</v>
      </c>
      <c r="D87" s="23">
        <v>23</v>
      </c>
      <c r="E87" s="23">
        <v>0</v>
      </c>
      <c r="F87" s="23">
        <v>0.93</v>
      </c>
      <c r="G87" s="22">
        <v>137</v>
      </c>
      <c r="H87" s="22">
        <v>12</v>
      </c>
      <c r="I87" s="22">
        <f>G87*22.2</f>
        <v>3041.4</v>
      </c>
      <c r="J87" s="23">
        <v>0.8315</v>
      </c>
      <c r="K87" s="118">
        <f>(C87-B87)*D87*F87/200</f>
        <v>3.8502000000000005</v>
      </c>
      <c r="L87" s="118">
        <f>(B87+C87)*pi2/40</f>
        <v>15.07968</v>
      </c>
      <c r="M87" s="22">
        <v>3.45</v>
      </c>
      <c r="N87" s="22">
        <v>15</v>
      </c>
      <c r="O87" s="22"/>
      <c r="P87" s="126">
        <f>(180/PI())*ASIN((2/(M87*H87))*SQRT(V87*(V87-H87)*(V87-M87)*(V87-N87)))</f>
        <v>33.43505910673596</v>
      </c>
      <c r="Q87" s="63">
        <f>sqrt2*I87/(((B87+C87)*pi2/40)*1000)</f>
        <v>0.28523079591884787</v>
      </c>
      <c r="R87" s="109">
        <f>1000*H87*sqrt2/(G87*pi2*f_test*((C87-B87)*D87/200)/10000)</f>
        <v>952.4110978851661</v>
      </c>
      <c r="S87" s="109">
        <f>R87/(100000*Q87*mu_0)</f>
        <v>26585.105869446397</v>
      </c>
      <c r="T87" s="109">
        <f>H87*1000000/(G87*I87*pi2*f_test)</f>
        <v>0.09167190345165292</v>
      </c>
      <c r="V87" s="2">
        <f>(H87+N87+M87)/2</f>
        <v>15.225</v>
      </c>
    </row>
    <row r="88" spans="1:22" s="2" customFormat="1" ht="12.75">
      <c r="A88" s="2" t="s">
        <v>146</v>
      </c>
      <c r="B88" s="22">
        <v>41</v>
      </c>
      <c r="C88" s="22">
        <v>69</v>
      </c>
      <c r="D88" s="22">
        <v>19</v>
      </c>
      <c r="E88" s="22">
        <v>1</v>
      </c>
      <c r="F88" s="22">
        <v>0.93</v>
      </c>
      <c r="G88" s="22">
        <v>100</v>
      </c>
      <c r="H88" s="22">
        <v>0.5</v>
      </c>
      <c r="I88" s="22">
        <f>M88*G88/0.155</f>
        <v>294.8387096774194</v>
      </c>
      <c r="J88" s="22">
        <v>0.5</v>
      </c>
      <c r="K88" s="110">
        <f>(C88-B88)*D88*F88/200</f>
        <v>2.4738</v>
      </c>
      <c r="L88" s="110">
        <f>(B88+C88)*pi2/40</f>
        <v>17.2788</v>
      </c>
      <c r="M88" s="22">
        <v>0.457</v>
      </c>
      <c r="N88" s="22">
        <v>0.848</v>
      </c>
      <c r="P88" s="126">
        <f>(180/PI())*ASIN((2/(M88*H88))*SQRT(V88*(V88-H88)*(V88-M88)*(V88-N88)))</f>
        <v>55.28562481269098</v>
      </c>
      <c r="Q88" s="63">
        <f>sqrt2*I88/(((B88+C88)*pi2/40)*1000)</f>
        <v>0.0241315891114192</v>
      </c>
      <c r="R88" s="109">
        <f>1000*H88*sqrt2/(G88*pi2*f_test*((C88-B88)*D88/200)/10000)</f>
        <v>84.6159972585383</v>
      </c>
      <c r="S88" s="109">
        <f>R88/(100000*Q88*mu_0)</f>
        <v>27917.525140116177</v>
      </c>
      <c r="T88" s="109">
        <f>H88*1000000/(G88*I88*pi2*f_test)</f>
        <v>0.05398021551966718</v>
      </c>
      <c r="V88" s="2">
        <f>(H88+N88+M88)/2</f>
        <v>0.9025</v>
      </c>
    </row>
    <row r="89" spans="2:22" s="2" customFormat="1" ht="12.75">
      <c r="B89" s="22">
        <v>41</v>
      </c>
      <c r="C89" s="22">
        <v>69</v>
      </c>
      <c r="D89" s="22">
        <v>19</v>
      </c>
      <c r="E89" s="22">
        <v>1</v>
      </c>
      <c r="F89" s="22">
        <v>0.93</v>
      </c>
      <c r="G89" s="22">
        <v>100</v>
      </c>
      <c r="H89" s="22">
        <v>2</v>
      </c>
      <c r="I89" s="22">
        <f>M89*G89/0.155</f>
        <v>941.9354838709678</v>
      </c>
      <c r="J89" s="22">
        <v>0.5</v>
      </c>
      <c r="K89" s="110">
        <f>(C89-B89)*D89*F89/200</f>
        <v>2.4738</v>
      </c>
      <c r="L89" s="110">
        <f>(B89+C89)*pi2/40</f>
        <v>17.2788</v>
      </c>
      <c r="M89" s="22">
        <v>1.46</v>
      </c>
      <c r="N89" s="22">
        <v>3.2</v>
      </c>
      <c r="P89" s="126">
        <f>(180/PI())*ASIN((2/(M89*H89))*SQRT(V89*(V89-H89)*(V89-M89)*(V89-N89)))</f>
        <v>45.29206381751933</v>
      </c>
      <c r="Q89" s="63">
        <f>sqrt2*I89/(((B89+C89)*pi2/40)*1000)</f>
        <v>0.07709435471044207</v>
      </c>
      <c r="R89" s="109">
        <f>1000*H89*sqrt2/(G89*pi2*f_test*((C89-B89)*D89/200)/10000)</f>
        <v>338.4639890341532</v>
      </c>
      <c r="S89" s="109">
        <f>R89/(100000*Q89*mu_0)</f>
        <v>34954.2712028304</v>
      </c>
      <c r="T89" s="109">
        <f>H89*1000000/(G89*I89*pi2*f_test)</f>
        <v>0.06758618765065179</v>
      </c>
      <c r="V89" s="2">
        <f>(H89+N89+M89)/2</f>
        <v>3.33</v>
      </c>
    </row>
    <row r="90" spans="2:22" ht="12.75">
      <c r="B90" s="22">
        <v>41</v>
      </c>
      <c r="C90" s="22">
        <v>69</v>
      </c>
      <c r="D90" s="22">
        <v>19</v>
      </c>
      <c r="E90" s="22">
        <v>1</v>
      </c>
      <c r="F90" s="22">
        <v>0.93</v>
      </c>
      <c r="G90" s="22">
        <v>100</v>
      </c>
      <c r="H90" s="22">
        <v>6.5</v>
      </c>
      <c r="I90" s="22">
        <f>M90*G90/0.155</f>
        <v>2335.483870967742</v>
      </c>
      <c r="J90" s="22">
        <v>0.5</v>
      </c>
      <c r="K90" s="110">
        <f>(C90-B90)*D90*F90/200</f>
        <v>2.4738</v>
      </c>
      <c r="L90" s="110">
        <f>(B90+C90)*pi2/40</f>
        <v>17.2788</v>
      </c>
      <c r="M90" s="22">
        <v>3.62</v>
      </c>
      <c r="N90" s="22">
        <v>9.76</v>
      </c>
      <c r="P90" s="126">
        <f>(180/PI())*ASIN((2/(M90*H90))*SQRT(V90*(V90-H90)*(V90-M90)*(V90-N90)))</f>
        <v>32.01365254268575</v>
      </c>
      <c r="Q90" s="63">
        <f>sqrt2*I90/(((B90+C90)*pi2/40)*1000)</f>
        <v>0.19115175619986322</v>
      </c>
      <c r="R90" s="109">
        <f>1000*H90*sqrt2/(G90*pi2*f_test*((C90-B90)*D90/200)/10000)</f>
        <v>1100.007964360998</v>
      </c>
      <c r="S90" s="109">
        <f>R90/(100000*Q90*mu_0)</f>
        <v>45817.13172857188</v>
      </c>
      <c r="T90" s="109">
        <f>H90*1000000/(G90*I90*pi2*f_test)</f>
        <v>0.08859018243158641</v>
      </c>
      <c r="V90" s="2">
        <f>(H90+N90+M90)/2</f>
        <v>9.94</v>
      </c>
    </row>
    <row r="91" spans="2:22" ht="12.75">
      <c r="B91" s="22">
        <v>41</v>
      </c>
      <c r="C91" s="22">
        <v>69</v>
      </c>
      <c r="D91" s="22">
        <v>19</v>
      </c>
      <c r="E91" s="22">
        <v>1</v>
      </c>
      <c r="F91" s="22">
        <v>0.93</v>
      </c>
      <c r="G91" s="22">
        <v>100</v>
      </c>
      <c r="H91" s="22">
        <v>10</v>
      </c>
      <c r="I91" s="22">
        <f>M91*G91/0.155</f>
        <v>4083.8709677419356</v>
      </c>
      <c r="J91" s="22">
        <v>0.5</v>
      </c>
      <c r="K91" s="110">
        <f>(C91-B91)*D91*F91/200</f>
        <v>2.4738</v>
      </c>
      <c r="L91" s="110">
        <f>(B91+C91)*pi2/40</f>
        <v>17.2788</v>
      </c>
      <c r="M91" s="22">
        <v>6.33</v>
      </c>
      <c r="N91" s="22">
        <v>15.85</v>
      </c>
      <c r="P91" s="126">
        <f>(180/PI())*ASIN((2/(M91*H91))*SQRT(V91*(V91-H91)*(V91-M91)*(V91-N91)))</f>
        <v>28.59909680014314</v>
      </c>
      <c r="Q91" s="63">
        <f>sqrt2*I91/(((B91+C91)*pi2/40)*1000)</f>
        <v>0.33425155158705366</v>
      </c>
      <c r="R91" s="109">
        <f>1000*H91*sqrt2/(G91*pi2*f_test*((C91-B91)*D91/200)/10000)</f>
        <v>1692.319945170766</v>
      </c>
      <c r="S91" s="109">
        <f>R91/(100000*Q91*mu_0)</f>
        <v>40310.61291953584</v>
      </c>
      <c r="T91" s="109">
        <f>H91*1000000/(G91*I91*pi2*f_test)</f>
        <v>0.07794299681670744</v>
      </c>
      <c r="V91" s="2">
        <f>(H91+N91+M91)/2</f>
        <v>16.09</v>
      </c>
    </row>
    <row r="92" spans="1:27" ht="12.75">
      <c r="A92" t="s">
        <v>127</v>
      </c>
      <c r="B92" s="22">
        <v>25</v>
      </c>
      <c r="C92" s="22">
        <f>B92+12</f>
        <v>37</v>
      </c>
      <c r="D92" s="22">
        <v>15</v>
      </c>
      <c r="E92" s="22">
        <v>1</v>
      </c>
      <c r="F92" s="22">
        <v>1</v>
      </c>
      <c r="G92" s="22">
        <v>20</v>
      </c>
      <c r="H92" s="67">
        <f>X92/(2*SQRT(2))</f>
        <v>0.17677669529663687</v>
      </c>
      <c r="I92" s="22">
        <f>Y92*1000/(AA$92*2*SQRT(2))</f>
        <v>13.081475451951128</v>
      </c>
      <c r="J92" s="22">
        <f>1.02/3.45</f>
        <v>0.2956521739130435</v>
      </c>
      <c r="K92" s="110">
        <f>(C92-B92)*D92*F92/100</f>
        <v>1.8</v>
      </c>
      <c r="L92" s="110">
        <f>(B92+C92)*pi2/40</f>
        <v>9.73896</v>
      </c>
      <c r="M92" s="67">
        <f>I92*AA$92/1000</f>
        <v>0.13081475451951127</v>
      </c>
      <c r="N92" s="67">
        <f>Z92/(2*SQRT(2))</f>
        <v>0.21566756826189698</v>
      </c>
      <c r="P92" s="126">
        <f>(180/PI())*ASIN((2/(M92*H92))*SQRT(V92*(V92-H92)*(V92-M92)*(V92-N92)))</f>
        <v>87.70755722404344</v>
      </c>
      <c r="Q92" s="63">
        <f>sqrt2*I92/(((B92+C92)*pi2/40)*1000)</f>
        <v>0.0018995868141978196</v>
      </c>
      <c r="R92" s="109">
        <f>1000*H92*SQRT(2)/(G92*2*PI()*W92*((C92-B92)*D92/200)/10000)</f>
        <v>0.8841941282883075</v>
      </c>
      <c r="S92" s="109">
        <f>R92/(100000*Q92*mu_0)</f>
        <v>3705.9439006863045</v>
      </c>
      <c r="T92" s="109">
        <f>H92*1000000/(G92*I92*2*PI()*W92)</f>
        <v>0.004301484948429604</v>
      </c>
      <c r="V92" s="2">
        <f>(H92+N92+M92)/2</f>
        <v>0.26162950903902255</v>
      </c>
      <c r="W92">
        <v>25000</v>
      </c>
      <c r="X92">
        <v>0.5</v>
      </c>
      <c r="Y92">
        <v>0.37</v>
      </c>
      <c r="Z92">
        <v>0.61</v>
      </c>
      <c r="AA92">
        <v>10</v>
      </c>
    </row>
    <row r="93" spans="1:26" ht="12.75">
      <c r="A93" t="s">
        <v>130</v>
      </c>
      <c r="B93" s="22">
        <v>25</v>
      </c>
      <c r="C93" s="22">
        <f>B93+12</f>
        <v>37</v>
      </c>
      <c r="D93" s="22">
        <v>15</v>
      </c>
      <c r="E93" s="22">
        <v>1</v>
      </c>
      <c r="F93" s="22">
        <v>1</v>
      </c>
      <c r="G93" s="22">
        <v>20</v>
      </c>
      <c r="H93" s="67">
        <f>X93/(2*SQRT(2))</f>
        <v>1.6970562748477138</v>
      </c>
      <c r="I93" s="22">
        <f>Y93*1000/(AA$92*2*SQRT(2))</f>
        <v>120.20815280171307</v>
      </c>
      <c r="J93" s="22">
        <f>1.02/3.45</f>
        <v>0.2956521739130435</v>
      </c>
      <c r="K93" s="110">
        <f>(C93-B93)*D93*F93/100</f>
        <v>1.8</v>
      </c>
      <c r="L93" s="110">
        <f>(B93+C93)*pi2/40</f>
        <v>9.73896</v>
      </c>
      <c r="M93" s="67">
        <f>I93*AA$92/1000</f>
        <v>1.2020815280171306</v>
      </c>
      <c r="N93" s="67">
        <f>Z93/(2*SQRT(2))</f>
        <v>2.085965004500315</v>
      </c>
      <c r="P93" s="126">
        <f>(180/PI())*ASIN((2/(M93*H93))*SQRT(V93*(V93-H93)*(V93-M93)*(V93-N93)))</f>
        <v>89.63136652239069</v>
      </c>
      <c r="Q93" s="63">
        <f>sqrt2*I93/(((B93+C93)*pi2/40)*1000)</f>
        <v>0.017455662616952937</v>
      </c>
      <c r="R93" s="109">
        <f>1000*H93*SQRT(2)/(G93*2*PI()*W93*((C93-B93)*D93/200)/10000)</f>
        <v>8.48826363156775</v>
      </c>
      <c r="S93" s="109">
        <f>R93/(100000*Q93*mu_0)</f>
        <v>3871.6213927169856</v>
      </c>
      <c r="T93" s="109">
        <f>H93*1000000/(G93*I93*2*PI()*W93)</f>
        <v>0.004493786628477044</v>
      </c>
      <c r="V93" s="2">
        <f>(H93+N93+M93)/2</f>
        <v>2.4925514036825795</v>
      </c>
      <c r="W93">
        <v>25000</v>
      </c>
      <c r="X93">
        <v>4.8</v>
      </c>
      <c r="Y93">
        <v>3.4</v>
      </c>
      <c r="Z93">
        <v>5.9</v>
      </c>
    </row>
    <row r="94" spans="2:26" ht="12.75">
      <c r="B94" s="22">
        <v>25</v>
      </c>
      <c r="C94" s="22">
        <f>B94+12</f>
        <v>37</v>
      </c>
      <c r="D94" s="22">
        <v>15</v>
      </c>
      <c r="E94" s="22">
        <v>1</v>
      </c>
      <c r="F94" s="22">
        <v>1</v>
      </c>
      <c r="G94" s="22">
        <v>20</v>
      </c>
      <c r="H94" s="67">
        <f>X94/(2*SQRT(2))</f>
        <v>6.045762979144982</v>
      </c>
      <c r="I94" s="22">
        <f>Y94*1000/(AA$92*2*SQRT(2))</f>
        <v>395.97979746446657</v>
      </c>
      <c r="J94" s="22">
        <f>1.02/3.45</f>
        <v>0.2956521739130435</v>
      </c>
      <c r="K94" s="110">
        <f>(C94-B94)*D94*F94/100</f>
        <v>1.8</v>
      </c>
      <c r="L94" s="110">
        <f>(B94+C94)*pi2/40</f>
        <v>9.73896</v>
      </c>
      <c r="M94" s="67">
        <f>I94*AA$92/1000</f>
        <v>3.959797974644666</v>
      </c>
      <c r="N94" s="67">
        <f>Z94/(2*SQRT(2))</f>
        <v>7.38926586339942</v>
      </c>
      <c r="P94" s="126">
        <f>(180/PI())*ASIN((2/(M94*H94))*SQRT(V94*(V94-H94)*(V94-M94)*(V94-N94)))</f>
        <v>87.16277131340956</v>
      </c>
      <c r="Q94" s="63">
        <f>sqrt2*I94/(((B94+C94)*pi2/40)*1000)</f>
        <v>0.05750100626760968</v>
      </c>
      <c r="R94" s="109">
        <f>1000*H94*SQRT(2)/(G94*2*PI()*W94*((C94-B94)*D94/200)/10000)</f>
        <v>30.23943918746012</v>
      </c>
      <c r="S94" s="109">
        <f>R94/(100000*Q94*mu_0)</f>
        <v>4187.054832078973</v>
      </c>
      <c r="T94" s="109">
        <f>H94*1000000/(G94*I94*2*PI()*W94)</f>
        <v>0.004859909869413234</v>
      </c>
      <c r="V94" s="2">
        <f>(H94+N94+M94)/2</f>
        <v>8.697413408594533</v>
      </c>
      <c r="W94">
        <v>25000</v>
      </c>
      <c r="X94">
        <v>17.1</v>
      </c>
      <c r="Y94">
        <v>11.2</v>
      </c>
      <c r="Z94">
        <v>20.9</v>
      </c>
    </row>
    <row r="95" spans="2:26" ht="12.75">
      <c r="B95" s="22">
        <v>25</v>
      </c>
      <c r="C95" s="22">
        <f>B95+12</f>
        <v>37</v>
      </c>
      <c r="D95" s="22">
        <v>15</v>
      </c>
      <c r="E95" s="22">
        <v>1</v>
      </c>
      <c r="F95" s="22">
        <v>1</v>
      </c>
      <c r="G95" s="22">
        <v>20</v>
      </c>
      <c r="H95" s="67">
        <f>X95/(2*SQRT(2))</f>
        <v>10.677312395916866</v>
      </c>
      <c r="I95" s="22">
        <f>Y95*1000/(AA$92*2*SQRT(2))</f>
        <v>657.6093065034892</v>
      </c>
      <c r="J95" s="22">
        <f>1.02/3.45</f>
        <v>0.2956521739130435</v>
      </c>
      <c r="K95" s="110">
        <f>(C95-B95)*D95*F95/100</f>
        <v>1.8</v>
      </c>
      <c r="L95" s="110">
        <f>(B95+C95)*pi2/40</f>
        <v>9.73896</v>
      </c>
      <c r="M95" s="67">
        <f>I95*AA$92/1000</f>
        <v>6.576093065034891</v>
      </c>
      <c r="N95" s="67">
        <f>Z95/(2*SQRT(2))</f>
        <v>12.940054095713819</v>
      </c>
      <c r="P95" s="126">
        <f>(180/PI())*ASIN((2/(M95*H95))*SQRT(V95*(V95-H95)*(V95-M95)*(V95-N95)))</f>
        <v>85.83675278608726</v>
      </c>
      <c r="Q95" s="63">
        <f>sqrt2*I95/(((B95+C95)*pi2/40)*1000)</f>
        <v>0.09549274255156608</v>
      </c>
      <c r="R95" s="109">
        <f>1000*H95*SQRT(2)/(G95*2*PI()*W95*((C95-B95)*D95/200)/10000)</f>
        <v>53.405325348613765</v>
      </c>
      <c r="S95" s="109">
        <f>R95/(100000*Q95*mu_0)</f>
        <v>4452.711521104166</v>
      </c>
      <c r="T95" s="109">
        <f>H95*1000000/(G95*I95*2*PI()*W95)</f>
        <v>0.005168257291801332</v>
      </c>
      <c r="V95" s="2">
        <f>(H95+N95+M95)/2</f>
        <v>15.096729778332787</v>
      </c>
      <c r="W95">
        <v>25000</v>
      </c>
      <c r="X95">
        <v>30.2</v>
      </c>
      <c r="Y95">
        <v>18.6</v>
      </c>
      <c r="Z95">
        <v>36.6</v>
      </c>
    </row>
    <row r="96" spans="1:27" ht="12.75">
      <c r="A96" s="50"/>
      <c r="B96" s="50" t="s">
        <v>151</v>
      </c>
      <c r="C96" s="50" t="s">
        <v>152</v>
      </c>
      <c r="D96" s="50" t="s">
        <v>153</v>
      </c>
      <c r="E96" s="50" t="s">
        <v>154</v>
      </c>
      <c r="F96" s="50" t="s">
        <v>155</v>
      </c>
      <c r="G96" s="50" t="s">
        <v>156</v>
      </c>
      <c r="H96" s="34" t="s">
        <v>20</v>
      </c>
      <c r="I96" s="50" t="s">
        <v>157</v>
      </c>
      <c r="J96" s="50" t="s">
        <v>158</v>
      </c>
      <c r="K96" s="50" t="s">
        <v>159</v>
      </c>
      <c r="L96" s="50" t="s">
        <v>160</v>
      </c>
      <c r="M96" s="25" t="s">
        <v>161</v>
      </c>
      <c r="N96" s="25" t="s">
        <v>162</v>
      </c>
      <c r="O96" s="25" t="s">
        <v>163</v>
      </c>
      <c r="P96" s="50" t="s">
        <v>33</v>
      </c>
      <c r="Q96" s="50" t="s">
        <v>35</v>
      </c>
      <c r="R96" s="50" t="s">
        <v>22</v>
      </c>
      <c r="S96" s="50" t="s">
        <v>32</v>
      </c>
      <c r="T96" s="50" t="s">
        <v>147</v>
      </c>
      <c r="U96" s="50" t="s">
        <v>106</v>
      </c>
      <c r="V96" s="50"/>
      <c r="W96" s="50"/>
      <c r="X96" t="s">
        <v>199</v>
      </c>
      <c r="Y96" t="s">
        <v>200</v>
      </c>
      <c r="Z96" t="s">
        <v>201</v>
      </c>
      <c r="AA96" t="s">
        <v>202</v>
      </c>
    </row>
    <row r="97" spans="1:23" ht="12.75">
      <c r="A97" s="50"/>
      <c r="B97" s="50" t="s">
        <v>164</v>
      </c>
      <c r="C97" s="50" t="s">
        <v>164</v>
      </c>
      <c r="D97" s="50" t="s">
        <v>164</v>
      </c>
      <c r="E97" s="50" t="s">
        <v>164</v>
      </c>
      <c r="F97" s="50"/>
      <c r="G97" s="34" t="s">
        <v>165</v>
      </c>
      <c r="H97" s="50" t="s">
        <v>37</v>
      </c>
      <c r="I97" s="50" t="s">
        <v>38</v>
      </c>
      <c r="J97" s="50" t="s">
        <v>166</v>
      </c>
      <c r="K97" s="50" t="s">
        <v>167</v>
      </c>
      <c r="L97" s="50" t="s">
        <v>168</v>
      </c>
      <c r="M97" s="50" t="s">
        <v>169</v>
      </c>
      <c r="N97" s="50" t="s">
        <v>169</v>
      </c>
      <c r="O97" s="50" t="s">
        <v>169</v>
      </c>
      <c r="P97" s="50" t="s">
        <v>42</v>
      </c>
      <c r="Q97" s="50" t="s">
        <v>45</v>
      </c>
      <c r="R97" s="50" t="s">
        <v>39</v>
      </c>
      <c r="S97" s="50"/>
      <c r="T97" s="50" t="s">
        <v>44</v>
      </c>
      <c r="U97" s="34"/>
      <c r="V97" s="50"/>
      <c r="W97" s="50"/>
    </row>
    <row r="98" spans="1:27" ht="12.75">
      <c r="A98" t="s">
        <v>127</v>
      </c>
      <c r="B98" s="22">
        <v>25</v>
      </c>
      <c r="C98" s="22">
        <f>B98+12</f>
        <v>37</v>
      </c>
      <c r="D98" s="22">
        <v>15</v>
      </c>
      <c r="E98" s="22">
        <v>1</v>
      </c>
      <c r="F98" s="22">
        <v>1</v>
      </c>
      <c r="G98" s="22">
        <v>20</v>
      </c>
      <c r="H98" s="67">
        <f>X98/(2*SQRT(2))</f>
        <v>0.1817264427649427</v>
      </c>
      <c r="I98" s="67">
        <f>Y98*1000/(AA$98*2*SQRT(2))</f>
        <v>1.0720651198634752</v>
      </c>
      <c r="J98" s="22">
        <f>1.02/(3.45*G98)</f>
        <v>0.014782608695652174</v>
      </c>
      <c r="K98" s="110">
        <f>(C98-B98)*D98*F98/100</f>
        <v>1.8</v>
      </c>
      <c r="L98" s="110">
        <f>(B98+C98)*pi2/40</f>
        <v>9.73896</v>
      </c>
      <c r="M98" s="67">
        <f>I98*AA$98/1000</f>
        <v>0.16617009357883863</v>
      </c>
      <c r="N98" s="67">
        <f>Z98/(2*SQRT(2))</f>
        <v>0.24960869375885125</v>
      </c>
      <c r="P98" s="126">
        <f>(180/PI())*ASIN((2/(M98*H98))*SQRT(V98*(V98-H98)*(V98-M98)*(V98-N98)))</f>
        <v>88.41786811726928</v>
      </c>
      <c r="Q98" s="63">
        <f>SQRT(2)*I98*G98/(((B98+C98)*2*PI()/40)*1000)</f>
        <v>0.003113541030309711</v>
      </c>
      <c r="R98" s="109">
        <f>1000*H98*SQRT(2)/(G98*2*PI()*W98*((C98-B98)*D98/200)/10000)</f>
        <v>0.1466050909484484</v>
      </c>
      <c r="S98" s="109">
        <f>R98/(100000*Q98*mu_0)</f>
        <v>374.89083133818195</v>
      </c>
      <c r="T98" s="109">
        <f>H98*1000000/(G98*I98*2*PI()*W98)</f>
        <v>0.008702727739280235</v>
      </c>
      <c r="V98" s="2">
        <f>(H98+N98+M98)/2</f>
        <v>0.2987526150513163</v>
      </c>
      <c r="W98">
        <v>155000</v>
      </c>
      <c r="X98">
        <v>0.514</v>
      </c>
      <c r="Y98">
        <v>0.47</v>
      </c>
      <c r="Z98">
        <v>0.706</v>
      </c>
      <c r="AA98">
        <v>155</v>
      </c>
    </row>
    <row r="99" spans="1:26" ht="12.75">
      <c r="A99" t="s">
        <v>128</v>
      </c>
      <c r="B99" s="22">
        <v>25</v>
      </c>
      <c r="C99" s="22">
        <f>B99+12</f>
        <v>37</v>
      </c>
      <c r="D99" s="22">
        <v>15</v>
      </c>
      <c r="E99" s="22">
        <v>1</v>
      </c>
      <c r="F99" s="22">
        <v>1</v>
      </c>
      <c r="G99" s="22">
        <v>20</v>
      </c>
      <c r="H99" s="67">
        <f>X99/(2*SQRT(2))</f>
        <v>1.145512985522207</v>
      </c>
      <c r="I99" s="67">
        <f>Y99*1000/(AA$98*2*SQRT(2))</f>
        <v>6.8885886425270115</v>
      </c>
      <c r="J99" s="22">
        <f>1.02/(3.45*G99)</f>
        <v>0.014782608695652174</v>
      </c>
      <c r="K99" s="110">
        <f>(C99-B99)*D99*F99/100</f>
        <v>1.8</v>
      </c>
      <c r="L99" s="110">
        <f>(B99+C99)*pi2/40</f>
        <v>9.73896</v>
      </c>
      <c r="M99" s="67">
        <f>I99*AA$98/1000</f>
        <v>1.0677312395916867</v>
      </c>
      <c r="N99" s="67">
        <f>Z99/(2*SQRT(2))</f>
        <v>1.590990257669732</v>
      </c>
      <c r="P99" s="126">
        <f>(180/PI())*ASIN((2/(M99*H99))*SQRT(V99*(V99-H99)*(V99-M99)*(V99-N99)))</f>
        <v>88.14931168384582</v>
      </c>
      <c r="Q99" s="63">
        <f>SQRT(2)*I99*G99/(((B99+C99)*2*PI()/40)*1000)</f>
        <v>0.020006157258585802</v>
      </c>
      <c r="R99" s="109">
        <f>1000*H99*SQRT(2)/(G99*2*PI()*W99*((C99-B99)*D99/200)/10000)</f>
        <v>0.924125476017457</v>
      </c>
      <c r="S99" s="109">
        <f>R99/(100000*Q99*mu_0)</f>
        <v>367.77112245328397</v>
      </c>
      <c r="T99" s="109">
        <f>H99*1000000/(G99*I99*2*PI()*W99)</f>
        <v>0.008537450589697697</v>
      </c>
      <c r="V99" s="2">
        <f>(H99+N99+M99)/2</f>
        <v>1.9021172413918128</v>
      </c>
      <c r="W99">
        <v>155000</v>
      </c>
      <c r="X99">
        <v>3.24</v>
      </c>
      <c r="Y99">
        <v>3.02</v>
      </c>
      <c r="Z99">
        <v>4.5</v>
      </c>
    </row>
    <row r="100" spans="1:28" s="50" customFormat="1" ht="12.75">
      <c r="A100" s="2" t="s">
        <v>129</v>
      </c>
      <c r="B100" s="22">
        <v>25</v>
      </c>
      <c r="C100" s="22">
        <f>B100+12</f>
        <v>37</v>
      </c>
      <c r="D100" s="22">
        <v>15</v>
      </c>
      <c r="E100" s="22">
        <v>1</v>
      </c>
      <c r="F100" s="22">
        <v>1</v>
      </c>
      <c r="G100" s="22">
        <v>20</v>
      </c>
      <c r="H100" s="67">
        <f>X100/(2*SQRT(2))</f>
        <v>3.7299882707590384</v>
      </c>
      <c r="I100" s="67">
        <f>Y100*1000/(AA$98*2*SQRT(2))</f>
        <v>22.581797205634903</v>
      </c>
      <c r="J100" s="22">
        <f>1.02/(3.45*G100)</f>
        <v>0.014782608695652174</v>
      </c>
      <c r="K100" s="110">
        <f>(C100-B100)*D100*F100/100</f>
        <v>1.8</v>
      </c>
      <c r="L100" s="110">
        <f>(B100+C100)*pi2/40</f>
        <v>9.73896</v>
      </c>
      <c r="M100" s="67">
        <f>I100*AA$98/1000</f>
        <v>3.50017856687341</v>
      </c>
      <c r="N100" s="67">
        <f>Z100/(2*SQRT(2))</f>
        <v>5.267945519839778</v>
      </c>
      <c r="O100"/>
      <c r="P100" s="126">
        <f>(180/PI())*ASIN((2/(M100*H100))*SQRT(V100*(V100-H100)*(V100-M100)*(V100-N100)))</f>
        <v>86.51509445135925</v>
      </c>
      <c r="Q100" s="63">
        <f>SQRT(2)*I100*G100/(((B100+C100)*2*PI()/40)*1000)</f>
        <v>0.06558309829801305</v>
      </c>
      <c r="R100" s="109">
        <f>1000*H100*SQRT(2)/(G100*2*PI()*W100*((C100-B100)*D100/200)/10000)</f>
        <v>3.0091122753037562</v>
      </c>
      <c r="S100" s="109">
        <f>R100/(100000*Q100*mu_0)</f>
        <v>365.30601485484726</v>
      </c>
      <c r="T100" s="109">
        <f>H100*1000000/(G100*I100*2*PI()*W100)</f>
        <v>0.008480225503128767</v>
      </c>
      <c r="U100"/>
      <c r="V100" s="2">
        <f>(H100+N100+M100)/2</f>
        <v>6.249056178736113</v>
      </c>
      <c r="W100">
        <v>155000</v>
      </c>
      <c r="X100">
        <v>10.55</v>
      </c>
      <c r="Y100">
        <v>9.9</v>
      </c>
      <c r="Z100">
        <v>14.9</v>
      </c>
      <c r="AA100"/>
      <c r="AB100"/>
    </row>
    <row r="101" spans="1:28" s="50" customFormat="1" ht="12.75">
      <c r="A101"/>
      <c r="B101" s="22">
        <v>25</v>
      </c>
      <c r="C101" s="22">
        <f>B101+12</f>
        <v>37</v>
      </c>
      <c r="D101" s="22">
        <v>15</v>
      </c>
      <c r="E101" s="22">
        <v>1</v>
      </c>
      <c r="F101" s="22">
        <v>1</v>
      </c>
      <c r="G101" s="22">
        <v>20</v>
      </c>
      <c r="H101" s="67">
        <f>X101/(2*SQRT(2))</f>
        <v>8.273149339882606</v>
      </c>
      <c r="I101" s="67">
        <f>Y101*1000/(AA$98*2*SQRT(2))</f>
        <v>51.094167414769885</v>
      </c>
      <c r="J101" s="22">
        <f>1.02/(3.45*G101)</f>
        <v>0.014782608695652174</v>
      </c>
      <c r="K101" s="110">
        <f>(C101-B101)*D101*F101/100</f>
        <v>1.8</v>
      </c>
      <c r="L101" s="110">
        <f>(B101+C101)*pi2/40</f>
        <v>9.73896</v>
      </c>
      <c r="M101" s="67">
        <f>I101*AA$98/1000</f>
        <v>7.919595949289333</v>
      </c>
      <c r="N101" s="67">
        <f>Z101/(2*SQRT(2))</f>
        <v>11.808683245815342</v>
      </c>
      <c r="O101"/>
      <c r="P101" s="126">
        <f>(180/PI())*ASIN((2/(M101*H101))*SQRT(V101*(V101-H101)*(V101-M101)*(V101-N101)))</f>
        <v>86.37724886759044</v>
      </c>
      <c r="Q101" s="63">
        <f>SQRT(2)*I101*G101/(((B101+C101)*2*PI()/40)*1000)</f>
        <v>0.14839004059348412</v>
      </c>
      <c r="R101" s="109">
        <f>1000*H101*SQRT(2)/(G101*2*PI()*W101*((C101-B101)*D101/200)/10000)</f>
        <v>6.674239549014966</v>
      </c>
      <c r="S101" s="109">
        <f>R101/(100000*Q101*mu_0)</f>
        <v>358.1025363967243</v>
      </c>
      <c r="T101" s="109">
        <f>H101*1000000/(G101*I101*2*PI()*W101)</f>
        <v>0.008313003723996319</v>
      </c>
      <c r="U101"/>
      <c r="V101" s="2">
        <f>(H101+N101+M101)/2</f>
        <v>14.000714267493638</v>
      </c>
      <c r="W101">
        <v>155000</v>
      </c>
      <c r="X101">
        <v>23.4</v>
      </c>
      <c r="Y101">
        <v>22.4</v>
      </c>
      <c r="Z101">
        <v>33.4</v>
      </c>
      <c r="AA101"/>
      <c r="AB101"/>
    </row>
    <row r="102" spans="1:27" ht="12.75">
      <c r="A102" t="s">
        <v>125</v>
      </c>
      <c r="B102">
        <v>95</v>
      </c>
      <c r="C102">
        <v>123</v>
      </c>
      <c r="D102">
        <v>29.5</v>
      </c>
      <c r="E102">
        <v>1.5</v>
      </c>
      <c r="F102">
        <v>1</v>
      </c>
      <c r="G102">
        <v>20</v>
      </c>
      <c r="H102" s="67">
        <f>X102/(2*SQRT(2))</f>
        <v>0.03606244584051392</v>
      </c>
      <c r="I102" s="67">
        <f>Y102*1000/(AA$102*2*SQRT(2))</f>
        <v>1.0677312395916867</v>
      </c>
      <c r="J102">
        <v>0.12</v>
      </c>
      <c r="K102" s="110">
        <f>(C102-B102)*D102*F102/100</f>
        <v>8.26</v>
      </c>
      <c r="L102" s="110">
        <f>(B102+C102)*pi2/40</f>
        <v>34.24344</v>
      </c>
      <c r="M102" s="67">
        <f>I102*AA$102/1000</f>
        <v>0.10677312395916867</v>
      </c>
      <c r="N102" s="67">
        <f>Z102/(2*SQRT(2))</f>
        <v>0.11667261889578034</v>
      </c>
      <c r="P102" s="126">
        <f>(180/PI())*ASIN((2/(M102*H102))*SQRT(V102*(V102-H102)*(V102-M102)*(V102-N102)))</f>
        <v>83.2024648087705</v>
      </c>
      <c r="Q102" s="63">
        <f>SQRT(2)*I102*G102/(((B102+C102)*2*PI()/40)*1000)</f>
        <v>0.0008819228039220624</v>
      </c>
      <c r="R102" s="109">
        <f>1000*H102*SQRT(2)/(G102*2*PI()*W102*((C102-B102)*D102/200)/10000)</f>
        <v>3.930703195005648</v>
      </c>
      <c r="S102" s="109">
        <f>R102/(100000*Q102*mu_0)</f>
        <v>35485.427368894525</v>
      </c>
      <c r="T102" s="109">
        <f>H102*1000000/(G102*I102*2*PI()*W102)</f>
        <v>1.0750863705545248</v>
      </c>
      <c r="V102" s="2">
        <f>(H102+N102+M102)/2</f>
        <v>0.12975409434773147</v>
      </c>
      <c r="W102">
        <v>250</v>
      </c>
      <c r="X102">
        <v>0.10200000000000001</v>
      </c>
      <c r="Y102">
        <v>0.302</v>
      </c>
      <c r="Z102">
        <v>0.33</v>
      </c>
      <c r="AA102">
        <v>100</v>
      </c>
    </row>
    <row r="103" spans="1:26" ht="12.75">
      <c r="A103" t="s">
        <v>126</v>
      </c>
      <c r="B103">
        <v>95</v>
      </c>
      <c r="C103">
        <v>123</v>
      </c>
      <c r="D103">
        <v>29.5</v>
      </c>
      <c r="E103">
        <v>1.5</v>
      </c>
      <c r="F103">
        <v>1</v>
      </c>
      <c r="G103">
        <v>20</v>
      </c>
      <c r="H103" s="67">
        <f>X103/(2*SQRT(2))</f>
        <v>0.28991378028648446</v>
      </c>
      <c r="I103" s="67">
        <f>Y103*1000/(AA$102*2*SQRT(2))</f>
        <v>7.707463914933368</v>
      </c>
      <c r="J103">
        <v>0.12</v>
      </c>
      <c r="K103" s="110">
        <f>(C103-B103)*D103*F103/100</f>
        <v>8.26</v>
      </c>
      <c r="L103" s="110">
        <f>(B103+C103)*pi2/40</f>
        <v>34.24344</v>
      </c>
      <c r="M103" s="67">
        <f>I103*AA$102/1000</f>
        <v>0.7707463914933368</v>
      </c>
      <c r="N103" s="67">
        <f>Z103/(2*SQRT(2))</f>
        <v>0.8555992052357224</v>
      </c>
      <c r="P103" s="126">
        <f>(180/PI())*ASIN((2/(M103*H103))*SQRT(V103*(V103-H103)*(V103-M103)*(V103-N103)))</f>
        <v>83.0663124029429</v>
      </c>
      <c r="Q103" s="63">
        <f>SQRT(2)*I103*G103/(((B103+C103)*2*PI()/40)*1000)</f>
        <v>0.006366197723675815</v>
      </c>
      <c r="R103" s="109">
        <f>1000*H103*SQRT(2)/(G103*2*PI()*W103*((C103-B103)*D103/200)/10000)</f>
        <v>31.599770783378734</v>
      </c>
      <c r="S103" s="109">
        <f>R103/(100000*Q103*mu_0)</f>
        <v>39519.74830739809</v>
      </c>
      <c r="T103" s="109">
        <f>H103*1000000/(G103*I103*2*PI()*W103)</f>
        <v>1.1973124159206805</v>
      </c>
      <c r="V103" s="2">
        <f>(H103+N103+M103)/2</f>
        <v>0.9581296885077718</v>
      </c>
      <c r="W103">
        <v>250</v>
      </c>
      <c r="X103">
        <v>0.82</v>
      </c>
      <c r="Y103">
        <v>2.18</v>
      </c>
      <c r="Z103">
        <v>2.42</v>
      </c>
    </row>
    <row r="104" spans="2:26" ht="12.75">
      <c r="B104">
        <v>95</v>
      </c>
      <c r="C104">
        <v>123</v>
      </c>
      <c r="D104">
        <v>29.5</v>
      </c>
      <c r="E104">
        <v>1.5</v>
      </c>
      <c r="F104">
        <v>1</v>
      </c>
      <c r="G104">
        <v>20</v>
      </c>
      <c r="H104" s="67">
        <f>X104/(2*SQRT(2))</f>
        <v>1.0889444430272832</v>
      </c>
      <c r="I104" s="67">
        <f>Y104*1000/(AA$102*2*SQRT(2))</f>
        <v>23.617366491630687</v>
      </c>
      <c r="J104">
        <v>0.12</v>
      </c>
      <c r="K104" s="110">
        <f>(C104-B104)*D104*F104/100</f>
        <v>8.26</v>
      </c>
      <c r="L104" s="110">
        <f>(B104+C104)*pi2/40</f>
        <v>34.24344</v>
      </c>
      <c r="M104" s="67">
        <f>I104*AA$102/1000</f>
        <v>2.3617366491630687</v>
      </c>
      <c r="N104" s="67">
        <f>Z104/(2*SQRT(2))</f>
        <v>2.814284989122459</v>
      </c>
      <c r="P104" s="126">
        <f>(180/PI())*ASIN((2/(M104*H104))*SQRT(V104*(V104-H104)*(V104-M104)*(V104-N104)))</f>
        <v>77.00523869223451</v>
      </c>
      <c r="Q104" s="63">
        <f>SQRT(2)*I104*G104/(((B104+C104)*2*PI()/40)*1000)</f>
        <v>0.01950743155695158</v>
      </c>
      <c r="R104" s="109">
        <f>1000*H104*SQRT(2)/(G104*2*PI()*W104*((C104-B104)*D104/200)/10000)</f>
        <v>118.69182196683721</v>
      </c>
      <c r="S104" s="109">
        <f>R104/(100000*Q104*mu_0)</f>
        <v>48443.0038767332</v>
      </c>
      <c r="T104" s="109">
        <f>H104*1000000/(G104*I104*2*PI()*W104)</f>
        <v>1.4676563614462206</v>
      </c>
      <c r="V104" s="2">
        <f>(H104+N104+M104)/2</f>
        <v>3.1324830406564055</v>
      </c>
      <c r="W104">
        <v>250</v>
      </c>
      <c r="X104">
        <v>3.08</v>
      </c>
      <c r="Y104">
        <v>6.68</v>
      </c>
      <c r="Z104">
        <v>7.96</v>
      </c>
    </row>
    <row r="105" spans="2:26" ht="12.75">
      <c r="B105">
        <v>95</v>
      </c>
      <c r="C105">
        <v>123</v>
      </c>
      <c r="D105">
        <v>29.5</v>
      </c>
      <c r="E105">
        <v>1.5</v>
      </c>
      <c r="F105">
        <v>1</v>
      </c>
      <c r="G105">
        <v>20</v>
      </c>
      <c r="H105" s="67">
        <f>X105/(2*SQRT(2))</f>
        <v>2.2980970388562794</v>
      </c>
      <c r="I105" s="67">
        <f>Y105*1000/(AA$102*2*SQRT(2))</f>
        <v>44.90128060534577</v>
      </c>
      <c r="J105">
        <v>0.12</v>
      </c>
      <c r="K105" s="110">
        <f>(C105-B105)*D105*F105/100</f>
        <v>8.26</v>
      </c>
      <c r="L105" s="110">
        <f>(B105+C105)*pi2/40</f>
        <v>34.24344</v>
      </c>
      <c r="M105" s="67">
        <f>I105*AA$102/1000</f>
        <v>4.490128060534577</v>
      </c>
      <c r="N105" s="67">
        <f>Z105/(2*SQRT(2))</f>
        <v>5.444722215136416</v>
      </c>
      <c r="P105" s="126">
        <f>(180/PI())*ASIN((2/(M105*H105))*SQRT(V105*(V105-H105)*(V105-M105)*(V105-N105)))</f>
        <v>78.25044418374921</v>
      </c>
      <c r="Q105" s="63">
        <f>SQRT(2)*I105*G105/(((B105+C105)*2*PI()/40)*1000)</f>
        <v>0.03708748215168939</v>
      </c>
      <c r="R105" s="109">
        <f>1000*H105*SQRT(2)/(G105*2*PI()*W105*((C105-B105)*D105/200)/10000)</f>
        <v>250.4859879170266</v>
      </c>
      <c r="S105" s="109">
        <f>R105/(100000*Q105*mu_0)</f>
        <v>53773.26997463327</v>
      </c>
      <c r="T105" s="109">
        <f>H105*1000000/(G105*I105*2*PI()*W105)</f>
        <v>1.6291450867674326</v>
      </c>
      <c r="V105" s="2">
        <f>(H105+N105+M105)/2</f>
        <v>6.1164736572636365</v>
      </c>
      <c r="W105">
        <v>250</v>
      </c>
      <c r="X105">
        <v>6.5</v>
      </c>
      <c r="Y105">
        <v>12.7</v>
      </c>
      <c r="Z105">
        <v>15.4</v>
      </c>
    </row>
    <row r="106" spans="1:27" ht="12.75">
      <c r="A106" t="s">
        <v>125</v>
      </c>
      <c r="B106" s="22">
        <v>95</v>
      </c>
      <c r="C106" s="22">
        <v>123</v>
      </c>
      <c r="D106" s="22">
        <v>29.5</v>
      </c>
      <c r="E106" s="22">
        <v>1.5</v>
      </c>
      <c r="F106" s="22">
        <v>1</v>
      </c>
      <c r="G106" s="22">
        <v>20</v>
      </c>
      <c r="H106" s="22">
        <f>X106/(2*SQRT(2))</f>
        <v>0.18384776310850234</v>
      </c>
      <c r="I106" s="22">
        <f>Y106*1000/(AA$106*2*SQRT(2))</f>
        <v>0.565685424949238</v>
      </c>
      <c r="J106" s="22">
        <v>0.12</v>
      </c>
      <c r="K106" s="110">
        <f>(C106-B106)*D106*F106/100</f>
        <v>8.26</v>
      </c>
      <c r="L106" s="110">
        <f>(B106+C106)*pi2/40</f>
        <v>34.24344</v>
      </c>
      <c r="M106" s="67">
        <f>I106*AA$106/1000</f>
        <v>0.0565685424949238</v>
      </c>
      <c r="N106" s="22">
        <f>Z106/(2*SQRT(2))</f>
        <v>0.19091883092036782</v>
      </c>
      <c r="P106" s="126">
        <f>(180/PI())*ASIN((2/(M106*H106))*SQRT(V106*(V106-H106)*(V106-M106)*(V106-N106)))</f>
        <v>88.48479076237089</v>
      </c>
      <c r="Q106" s="63">
        <f>SQRT(2)*I106*G106/(((B106+C106)*2*PI()/40)*1000)</f>
        <v>0.0004672438696275828</v>
      </c>
      <c r="R106" s="109">
        <f>1000*H106*SQRT(2)/(G106*2*PI()*W106*((C106-B106)*D106/200)/10000)</f>
        <v>0.20038879033362125</v>
      </c>
      <c r="S106" s="109">
        <f>R106/(100000*Q106*mu_0)</f>
        <v>3414.6026433892125</v>
      </c>
      <c r="T106" s="109">
        <f>H106*1000000/(G106*I106*2*PI()*W106)</f>
        <v>0.10345071300973196</v>
      </c>
      <c r="V106" s="2">
        <f>(H106+N106+M106)/2</f>
        <v>0.21566756826189698</v>
      </c>
      <c r="W106">
        <v>25000</v>
      </c>
      <c r="X106">
        <v>0.52</v>
      </c>
      <c r="Y106">
        <v>0.16</v>
      </c>
      <c r="Z106">
        <v>0.54</v>
      </c>
      <c r="AA106">
        <v>100</v>
      </c>
    </row>
    <row r="107" spans="1:26" ht="12.75">
      <c r="A107" t="s">
        <v>130</v>
      </c>
      <c r="B107" s="22">
        <v>95</v>
      </c>
      <c r="C107" s="22">
        <v>123</v>
      </c>
      <c r="D107" s="22">
        <v>29.5</v>
      </c>
      <c r="E107" s="22">
        <v>1.5</v>
      </c>
      <c r="F107" s="22">
        <v>1</v>
      </c>
      <c r="G107" s="22">
        <v>20</v>
      </c>
      <c r="H107" s="22">
        <f>X107/(2*SQRT(2))</f>
        <v>1.4849242404917498</v>
      </c>
      <c r="I107" s="22">
        <f>Y107*1000/(AA$106*2*SQRT(2))</f>
        <v>4.737615433949868</v>
      </c>
      <c r="J107" s="22">
        <v>0.12</v>
      </c>
      <c r="K107" s="110">
        <f>(C107-B107)*D107*F107/100</f>
        <v>8.26</v>
      </c>
      <c r="L107" s="110">
        <f>(B107+C107)*pi2/40</f>
        <v>34.24344</v>
      </c>
      <c r="M107" s="67">
        <f>I107*AA$106/1000</f>
        <v>0.47376154339498683</v>
      </c>
      <c r="N107" s="22">
        <f>Z107/(2*SQRT(2))</f>
        <v>1.5556349186104046</v>
      </c>
      <c r="P107" s="126">
        <f>(180/PI())*ASIN((2/(M107*H107))*SQRT(V107*(V107-H107)*(V107-M107)*(V107-N107)))</f>
        <v>89.61517470699127</v>
      </c>
      <c r="Q107" s="63">
        <f>SQRT(2)*I107*G107/(((B107+C107)*2*PI()/40)*1000)</f>
        <v>0.003913167408131006</v>
      </c>
      <c r="R107" s="109">
        <f>1000*H107*SQRT(2)/(G107*2*PI()*W107*((C107-B107)*D107/200)/10000)</f>
        <v>1.6185248450023255</v>
      </c>
      <c r="S107" s="109">
        <f>R107/(100000*Q107*mu_0)</f>
        <v>3293.0725837507907</v>
      </c>
      <c r="T107" s="109">
        <f>H107*1000000/(G107*I107*2*PI()*W107)</f>
        <v>0.09976877029641198</v>
      </c>
      <c r="V107" s="2">
        <f>(H107+N107+M107)/2</f>
        <v>1.7571603512485707</v>
      </c>
      <c r="W107">
        <v>25000</v>
      </c>
      <c r="X107">
        <v>4.2</v>
      </c>
      <c r="Y107">
        <v>1.34</v>
      </c>
      <c r="Z107">
        <v>4.4</v>
      </c>
    </row>
    <row r="108" spans="2:26" ht="12.75">
      <c r="B108" s="22">
        <v>95</v>
      </c>
      <c r="C108" s="22">
        <v>123</v>
      </c>
      <c r="D108" s="22">
        <v>29.5</v>
      </c>
      <c r="E108" s="22">
        <v>1.5</v>
      </c>
      <c r="F108" s="22">
        <v>1</v>
      </c>
      <c r="G108" s="22">
        <v>20</v>
      </c>
      <c r="H108" s="22">
        <f>X108/(2*SQRT(2))</f>
        <v>5.35986940139403</v>
      </c>
      <c r="I108" s="22">
        <f>Y108*1000/(AA$106*2*SQRT(2))</f>
        <v>16.334166645409248</v>
      </c>
      <c r="J108" s="22">
        <v>0.12</v>
      </c>
      <c r="K108" s="110">
        <f>(C108-B108)*D108*F108/100</f>
        <v>8.26</v>
      </c>
      <c r="L108" s="110">
        <f>(B108+C108)*pi2/40</f>
        <v>34.24344</v>
      </c>
      <c r="M108" s="67">
        <f>I108*AA$106/1000</f>
        <v>1.6334166645409247</v>
      </c>
      <c r="N108" s="22">
        <f>Z108/(2*SQRT(2))</f>
        <v>5.727564927611034</v>
      </c>
      <c r="P108" s="126">
        <f>(180/PI())*ASIN((2/(M108*H108))*SQRT(V108*(V108-H108)*(V108-M108)*(V108-N108)))</f>
        <v>85.385283527577</v>
      </c>
      <c r="Q108" s="63">
        <f>SQRT(2)*I108*G108/(((B108+C108)*2*PI()/40)*1000)</f>
        <v>0.013491666735496451</v>
      </c>
      <c r="R108" s="109">
        <f>1000*H108*SQRT(2)/(G108*2*PI()*W108*((C108-B108)*D108/200)/10000)</f>
        <v>5.842103964341726</v>
      </c>
      <c r="S108" s="109">
        <f>R108/(100000*Q108*mu_0)</f>
        <v>3447.577494091273</v>
      </c>
      <c r="T108" s="109">
        <f>H108*1000000/(G108*I108*2*PI()*W108)</f>
        <v>0.10444973754429147</v>
      </c>
      <c r="V108" s="2">
        <f>(H108+N108+M108)/2</f>
        <v>6.360425496772994</v>
      </c>
      <c r="W108">
        <v>25000</v>
      </c>
      <c r="X108">
        <v>15.16</v>
      </c>
      <c r="Y108">
        <v>4.62</v>
      </c>
      <c r="Z108">
        <v>16.2</v>
      </c>
    </row>
    <row r="109" spans="2:26" ht="12.75">
      <c r="B109" s="22">
        <v>95</v>
      </c>
      <c r="C109" s="22">
        <v>123</v>
      </c>
      <c r="D109" s="22">
        <v>29.5</v>
      </c>
      <c r="E109" s="22">
        <v>1.5</v>
      </c>
      <c r="F109" s="22">
        <v>1</v>
      </c>
      <c r="G109" s="22">
        <v>20</v>
      </c>
      <c r="H109" s="22">
        <f>X109/(2*SQRT(2))</f>
        <v>12.940054095713819</v>
      </c>
      <c r="I109" s="22">
        <f>Y109*1000/(AA$106*2*SQRT(2))</f>
        <v>37.476659402887016</v>
      </c>
      <c r="J109" s="22">
        <v>0.12</v>
      </c>
      <c r="K109" s="110">
        <f>(C109-B109)*D109*F109/100</f>
        <v>8.26</v>
      </c>
      <c r="L109" s="110">
        <f>(B109+C109)*pi2/40</f>
        <v>34.24344</v>
      </c>
      <c r="M109" s="67">
        <f>I109*AA$106/1000</f>
        <v>3.7476659402887016</v>
      </c>
      <c r="N109" s="22">
        <f>Z109/(2*SQRT(2))</f>
        <v>13.61180553784104</v>
      </c>
      <c r="P109" s="126">
        <f>(180/PI())*ASIN((2/(M109*H109))*SQRT(V109*(V109-H109)*(V109-M109)*(V109-N109)))</f>
        <v>87.75978987598904</v>
      </c>
      <c r="Q109" s="63">
        <f>SQRT(2)*I109*G109/(((B109+C109)*2*PI()/40)*1000)</f>
        <v>0.03095490636282736</v>
      </c>
      <c r="R109" s="109">
        <f>1000*H109*SQRT(2)/(G109*2*PI()*W109*((C109-B109)*D109/200)/10000)</f>
        <v>14.104287935020265</v>
      </c>
      <c r="S109" s="109">
        <f>R109/(100000*Q109*mu_0)</f>
        <v>3627.705565980992</v>
      </c>
      <c r="T109" s="109">
        <f>H109*1000000/(G109*I109*2*PI()*W109)</f>
        <v>0.10990699843704471</v>
      </c>
      <c r="V109" s="2">
        <f>(H109+N109+M109)/2</f>
        <v>15.14976278692178</v>
      </c>
      <c r="W109">
        <v>25000</v>
      </c>
      <c r="X109">
        <v>36.6</v>
      </c>
      <c r="Y109">
        <v>10.6</v>
      </c>
      <c r="Z109">
        <v>38.5</v>
      </c>
    </row>
    <row r="110" spans="1:27" ht="12.75">
      <c r="A110" t="s">
        <v>125</v>
      </c>
      <c r="B110">
        <v>95</v>
      </c>
      <c r="C110">
        <v>123</v>
      </c>
      <c r="D110">
        <v>29.5</v>
      </c>
      <c r="E110">
        <v>1.5</v>
      </c>
      <c r="F110">
        <v>1</v>
      </c>
      <c r="G110">
        <v>20</v>
      </c>
      <c r="H110" s="67">
        <f>X110/(2*SQRT(2))</f>
        <v>0.04914392129246505</v>
      </c>
      <c r="I110" s="67">
        <f>Y110*1000/(AA$110*2*SQRT(2))</f>
        <v>0.024748737341529162</v>
      </c>
      <c r="J110">
        <v>0.12</v>
      </c>
      <c r="K110" s="110">
        <f>(C110-B110)*D110*F110/100</f>
        <v>8.26</v>
      </c>
      <c r="L110" s="110">
        <f>(B110+C110)*pi2/40</f>
        <v>34.24344</v>
      </c>
      <c r="M110" s="67">
        <f>I110*AA$110/1000</f>
        <v>0.024748737341529162</v>
      </c>
      <c r="N110" s="67">
        <f>Z110/(2*SQRT(2))</f>
        <v>0.054800775541957426</v>
      </c>
      <c r="P110" s="126">
        <f>(180/PI())*ASIN((2/(M110*H110))*SQRT(V110*(V110-H110)*(V110-M110)*(V110-N110)))</f>
        <v>89.42291044901386</v>
      </c>
      <c r="Q110" s="63">
        <f>SQRT(2)*I110*G110/(((B110+C110)*2*PI()/40)*1000)</f>
        <v>2.0441919296206748E-05</v>
      </c>
      <c r="R110" s="109">
        <f>1000*H110*SQRT(2)/(G110*2*PI()*W110*((C110-B110)*D110/200)/10000)</f>
        <v>0.00863959114651779</v>
      </c>
      <c r="S110" s="109">
        <f>R110/(100000*Q110*mu_0)</f>
        <v>3364.9753096852223</v>
      </c>
      <c r="T110" s="109">
        <f>H110*1000000/(G110*I110*2*PI()*W110)</f>
        <v>0.10194717552890992</v>
      </c>
      <c r="V110" s="2">
        <f>(H110+N110+M110)/2</f>
        <v>0.06434671708797582</v>
      </c>
      <c r="W110">
        <v>155000</v>
      </c>
      <c r="X110">
        <v>0.139</v>
      </c>
      <c r="Y110">
        <v>0.07</v>
      </c>
      <c r="Z110">
        <v>0.155</v>
      </c>
      <c r="AA110">
        <v>1000</v>
      </c>
    </row>
    <row r="111" spans="1:26" ht="12.75">
      <c r="A111" t="s">
        <v>128</v>
      </c>
      <c r="B111">
        <v>95</v>
      </c>
      <c r="C111">
        <v>123</v>
      </c>
      <c r="D111">
        <v>29.5</v>
      </c>
      <c r="E111">
        <v>1.5</v>
      </c>
      <c r="F111">
        <v>1</v>
      </c>
      <c r="G111">
        <v>20</v>
      </c>
      <c r="H111" s="67">
        <f>X111/(2*SQRT(2))</f>
        <v>0.27258966414741403</v>
      </c>
      <c r="I111" s="67">
        <f>Y111*1000/(AA$110*2*SQRT(2))</f>
        <v>0.13152186130069785</v>
      </c>
      <c r="J111">
        <v>0.12</v>
      </c>
      <c r="K111" s="110">
        <f>(C111-B111)*D111*F111/100</f>
        <v>8.26</v>
      </c>
      <c r="L111" s="110">
        <f>(B111+C111)*pi2/40</f>
        <v>34.24344</v>
      </c>
      <c r="M111" s="67">
        <f>I111*AA$110/1000</f>
        <v>0.13152186130069785</v>
      </c>
      <c r="N111" s="67">
        <f>Z111/(2*SQRT(2))</f>
        <v>0.29981327522309614</v>
      </c>
      <c r="P111" s="126">
        <f>(180/PI())*ASIN((2/(M111*H111))*SQRT(V111*(V111-H111)*(V111-M111)*(V111-N111)))</f>
        <v>88.62936282707126</v>
      </c>
      <c r="Q111" s="63">
        <f>SQRT(2)*I111*G111/(((B111+C111)*2*PI()/40)*1000)</f>
        <v>0.00010863419968841301</v>
      </c>
      <c r="R111" s="109">
        <f>1000*H111*SQRT(2)/(G111*2*PI()*W111*((C111-B111)*D111/200)/10000)</f>
        <v>0.04792176096377854</v>
      </c>
      <c r="S111" s="109">
        <f>R111/(100000*Q111*mu_0)</f>
        <v>3512.1783372729838</v>
      </c>
      <c r="T111" s="109">
        <f>H111*1000000/(G111*I111*2*PI()*W111)</f>
        <v>0.10640692084968027</v>
      </c>
      <c r="V111" s="2">
        <f>(H111+N111+M111)/2</f>
        <v>0.351962400335604</v>
      </c>
      <c r="W111">
        <v>155000</v>
      </c>
      <c r="X111">
        <v>0.771</v>
      </c>
      <c r="Y111">
        <v>0.372</v>
      </c>
      <c r="Z111">
        <v>0.848</v>
      </c>
    </row>
    <row r="112" spans="2:26" ht="12.75">
      <c r="B112">
        <v>95</v>
      </c>
      <c r="C112">
        <v>123</v>
      </c>
      <c r="D112">
        <v>29.5</v>
      </c>
      <c r="E112">
        <v>1.5</v>
      </c>
      <c r="F112">
        <v>1</v>
      </c>
      <c r="G112">
        <v>20</v>
      </c>
      <c r="H112" s="67">
        <f>X112/(2*SQRT(2))</f>
        <v>5.904341622907671</v>
      </c>
      <c r="I112" s="67">
        <f>Y112*1000/(AA$110*2*SQRT(2))</f>
        <v>4.065863991822648</v>
      </c>
      <c r="J112">
        <v>0.12</v>
      </c>
      <c r="K112" s="110">
        <f>(C112-B112)*D112*F112/100</f>
        <v>8.26</v>
      </c>
      <c r="L112" s="110">
        <f>(B112+C112)*pi2/40</f>
        <v>34.24344</v>
      </c>
      <c r="M112" s="67">
        <f>I112*AA$110/1000</f>
        <v>4.065863991822648</v>
      </c>
      <c r="N112" s="67">
        <f>Z112/(2*SQRT(2))</f>
        <v>7.247844507162112</v>
      </c>
      <c r="P112" s="126">
        <f>(180/PI())*ASIN((2/(M112*H112))*SQRT(V112*(V112-H112)*(V112-M112)*(V112-N112)))</f>
        <v>88.6409437625135</v>
      </c>
      <c r="Q112" s="63">
        <f>SQRT(2)*I112*G112/(((B112+C112)*2*PI()/40)*1000)</f>
        <v>0.0033583153129482513</v>
      </c>
      <c r="R112" s="109">
        <f>1000*H112*SQRT(2)/(G112*2*PI()*W112*((C112-B112)*D112/200)/10000)</f>
        <v>1.0379940442219215</v>
      </c>
      <c r="S112" s="109">
        <f>R112/(100000*Q112*mu_0)</f>
        <v>2460.8421251310756</v>
      </c>
      <c r="T112" s="109">
        <f>H112*1000000/(G112*I112*2*PI()*W112)</f>
        <v>0.07455505048063539</v>
      </c>
      <c r="V112" s="2">
        <f>(H112+N112+M112)/2</f>
        <v>8.609025060946216</v>
      </c>
      <c r="W112">
        <v>155000</v>
      </c>
      <c r="X112">
        <v>16.7</v>
      </c>
      <c r="Y112">
        <v>11.5</v>
      </c>
      <c r="Z112">
        <v>20.5</v>
      </c>
    </row>
    <row r="113" spans="2:26" ht="12.75">
      <c r="B113">
        <v>95</v>
      </c>
      <c r="C113">
        <v>123</v>
      </c>
      <c r="D113">
        <v>29.5</v>
      </c>
      <c r="E113">
        <v>1.5</v>
      </c>
      <c r="F113">
        <v>1</v>
      </c>
      <c r="G113">
        <v>20</v>
      </c>
      <c r="H113" s="67">
        <f>X113/(2*SQRT(2))</f>
        <v>12.455685950601033</v>
      </c>
      <c r="I113" s="67">
        <f>Y113*1000/(AA$110*2*SQRT(2))</f>
        <v>8.273149339882606</v>
      </c>
      <c r="J113">
        <v>0.12</v>
      </c>
      <c r="K113" s="110">
        <f>(C113-B113)*D113*F113/100</f>
        <v>8.26</v>
      </c>
      <c r="L113" s="110">
        <f>(B113+C113)*pi2/40</f>
        <v>34.24344</v>
      </c>
      <c r="M113" s="67">
        <f>I113*AA$110/1000</f>
        <v>8.273149339882606</v>
      </c>
      <c r="N113" s="67">
        <f>Z113/(2*SQRT(2))</f>
        <v>17.11198410471445</v>
      </c>
      <c r="P113" s="126">
        <f>(180/PI())*ASIN((2/(M113*H113))*SQRT(V113*(V113-H113)*(V113-M113)*(V113-N113)))</f>
        <v>70.371718031118</v>
      </c>
      <c r="Q113" s="63">
        <f>SQRT(2)*I113*G113/(((B113+C113)*2*PI()/40)*1000)</f>
        <v>0.006833441593303399</v>
      </c>
      <c r="R113" s="109">
        <f>1000*H113*SQRT(2)/(G113*2*PI()*W113*((C113-B113)*D113/200)/10000)</f>
        <v>2.189732345984329</v>
      </c>
      <c r="S113" s="109">
        <f>R113/(100000*Q113*mu_0)</f>
        <v>2551.302223210578</v>
      </c>
      <c r="T113" s="109">
        <f>H113*1000000/(G113*I113*2*PI()*W113)</f>
        <v>0.07729568024713913</v>
      </c>
      <c r="V113" s="2">
        <f>(H113+N113+M113)/2</f>
        <v>18.920409697599045</v>
      </c>
      <c r="W113">
        <v>155000</v>
      </c>
      <c r="X113">
        <v>35.23</v>
      </c>
      <c r="Y113">
        <v>23.4</v>
      </c>
      <c r="Z113">
        <v>48.4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3">
      <selection activeCell="A39" sqref="A39"/>
    </sheetView>
  </sheetViews>
  <sheetFormatPr defaultColWidth="9.140625" defaultRowHeight="12.75"/>
  <cols>
    <col min="1" max="1" width="16.28125" style="0" customWidth="1"/>
  </cols>
  <sheetData>
    <row r="1" ht="12.75">
      <c r="A1" s="55" t="s">
        <v>203</v>
      </c>
    </row>
    <row r="2" spans="1:3" ht="12.75">
      <c r="A2" t="s">
        <v>204</v>
      </c>
      <c r="C2" s="9"/>
    </row>
    <row r="4" ht="12.75">
      <c r="A4" s="71" t="s">
        <v>205</v>
      </c>
    </row>
    <row r="5" spans="1:2" ht="12.75">
      <c r="A5" s="22" t="s">
        <v>206</v>
      </c>
      <c r="B5" t="s">
        <v>207</v>
      </c>
    </row>
    <row r="6" spans="1:2" ht="12.75">
      <c r="A6" s="2"/>
      <c r="B6" t="s">
        <v>208</v>
      </c>
    </row>
    <row r="7" spans="1:2" ht="12.75">
      <c r="A7" s="2"/>
      <c r="B7" t="s">
        <v>209</v>
      </c>
    </row>
    <row r="8" spans="1:2" ht="12.75">
      <c r="A8" s="22" t="s">
        <v>19</v>
      </c>
      <c r="B8" t="s">
        <v>210</v>
      </c>
    </row>
    <row r="9" spans="1:2" ht="12.75">
      <c r="A9" s="22" t="s">
        <v>211</v>
      </c>
      <c r="B9" t="s">
        <v>212</v>
      </c>
    </row>
    <row r="10" spans="1:2" ht="12.75">
      <c r="A10" s="22"/>
      <c r="B10" t="s">
        <v>213</v>
      </c>
    </row>
    <row r="11" spans="1:2" ht="12.75">
      <c r="A11" s="22" t="s">
        <v>214</v>
      </c>
      <c r="B11" t="s">
        <v>215</v>
      </c>
    </row>
    <row r="12" spans="1:2" ht="12.75">
      <c r="A12" s="22" t="s">
        <v>48</v>
      </c>
      <c r="B12" t="s">
        <v>216</v>
      </c>
    </row>
    <row r="13" spans="1:2" ht="12.75">
      <c r="A13" s="22" t="s">
        <v>49</v>
      </c>
      <c r="B13" t="s">
        <v>217</v>
      </c>
    </row>
    <row r="14" spans="1:2" ht="12.75">
      <c r="A14" s="22" t="s">
        <v>218</v>
      </c>
      <c r="B14" t="s">
        <v>219</v>
      </c>
    </row>
    <row r="15" spans="1:2" ht="12.75">
      <c r="A15" s="22" t="s">
        <v>54</v>
      </c>
      <c r="B15" t="s">
        <v>220</v>
      </c>
    </row>
    <row r="16" spans="1:2" ht="12.75">
      <c r="A16" s="22" t="s">
        <v>221</v>
      </c>
      <c r="B16" t="s">
        <v>222</v>
      </c>
    </row>
    <row r="17" spans="1:2" ht="12.75">
      <c r="A17" s="22" t="s">
        <v>56</v>
      </c>
      <c r="B17" t="s">
        <v>223</v>
      </c>
    </row>
    <row r="18" spans="1:2" ht="12.75">
      <c r="A18" s="22" t="s">
        <v>224</v>
      </c>
      <c r="B18" t="s">
        <v>225</v>
      </c>
    </row>
    <row r="20" ht="12.75">
      <c r="A20" s="71" t="s">
        <v>226</v>
      </c>
    </row>
    <row r="21" spans="1:2" ht="12.75">
      <c r="A21" s="127" t="s">
        <v>63</v>
      </c>
      <c r="B21" t="s">
        <v>227</v>
      </c>
    </row>
    <row r="22" spans="1:2" ht="12.75">
      <c r="A22" s="128" t="s">
        <v>228</v>
      </c>
      <c r="B22" t="s">
        <v>229</v>
      </c>
    </row>
    <row r="23" spans="1:2" ht="12.75">
      <c r="A23" s="128" t="s">
        <v>230</v>
      </c>
      <c r="B23" t="s">
        <v>231</v>
      </c>
    </row>
    <row r="24" ht="12.75">
      <c r="A24" s="129" t="s">
        <v>232</v>
      </c>
    </row>
    <row r="25" spans="1:2" ht="12.75">
      <c r="A25" s="63" t="s">
        <v>57</v>
      </c>
      <c r="B25" t="s">
        <v>233</v>
      </c>
    </row>
    <row r="26" spans="1:2" ht="12.75">
      <c r="A26" s="63" t="s">
        <v>69</v>
      </c>
      <c r="B26" t="s">
        <v>234</v>
      </c>
    </row>
    <row r="27" ht="12.75">
      <c r="A27" s="130" t="s">
        <v>235</v>
      </c>
    </row>
    <row r="28" spans="1:2" ht="12.75">
      <c r="A28" s="63" t="s">
        <v>236</v>
      </c>
      <c r="B28" t="s">
        <v>237</v>
      </c>
    </row>
    <row r="29" spans="1:2" ht="12.75">
      <c r="A29" s="58" t="s">
        <v>238</v>
      </c>
      <c r="B29" t="s">
        <v>239</v>
      </c>
    </row>
    <row r="30" spans="1:2" ht="12.75">
      <c r="A30" s="131" t="s">
        <v>73</v>
      </c>
      <c r="B30" t="s">
        <v>240</v>
      </c>
    </row>
    <row r="31" spans="1:2" ht="12.75">
      <c r="A31" s="131" t="s">
        <v>74</v>
      </c>
      <c r="B31" t="s">
        <v>241</v>
      </c>
    </row>
    <row r="32" spans="1:2" ht="12.75">
      <c r="A32" s="131" t="s">
        <v>76</v>
      </c>
      <c r="B32" t="s">
        <v>242</v>
      </c>
    </row>
    <row r="34" ht="12.75">
      <c r="A34" s="130" t="s">
        <v>243</v>
      </c>
    </row>
    <row r="35" ht="12.75">
      <c r="A35" s="73" t="s">
        <v>244</v>
      </c>
    </row>
    <row r="36" ht="12.75">
      <c r="A36" t="s">
        <v>245</v>
      </c>
    </row>
    <row r="38" ht="12.75">
      <c r="A38" s="71" t="s">
        <v>246</v>
      </c>
    </row>
    <row r="39" spans="1:8" ht="12.75">
      <c r="A39" t="s">
        <v>247</v>
      </c>
      <c r="B39" t="s">
        <v>248</v>
      </c>
      <c r="C39" t="s">
        <v>249</v>
      </c>
      <c r="D39" t="s">
        <v>250</v>
      </c>
      <c r="E39" t="s">
        <v>251</v>
      </c>
      <c r="F39" t="s">
        <v>252</v>
      </c>
      <c r="G39" t="s">
        <v>253</v>
      </c>
      <c r="H39" t="s">
        <v>254</v>
      </c>
    </row>
    <row r="40" spans="1:8" ht="12.75">
      <c r="A40" s="22">
        <f>B40*C40*D40*E40*F40*G40*H40</f>
        <v>1366.5600000000002</v>
      </c>
      <c r="B40">
        <v>1</v>
      </c>
      <c r="C40">
        <v>25</v>
      </c>
      <c r="D40">
        <v>0.2</v>
      </c>
      <c r="E40">
        <v>3</v>
      </c>
      <c r="F40">
        <v>0.6000000000000001</v>
      </c>
      <c r="G40" s="67">
        <f>7.3*1.6</f>
        <v>11.68</v>
      </c>
      <c r="H40">
        <v>13</v>
      </c>
    </row>
    <row r="41" spans="6:8" ht="12.75">
      <c r="F41" s="124" t="s">
        <v>255</v>
      </c>
      <c r="G41" s="124">
        <f>7.3*1.6</f>
        <v>11.68</v>
      </c>
      <c r="H41" s="124">
        <v>13</v>
      </c>
    </row>
    <row r="42" spans="6:8" ht="12.75">
      <c r="F42" s="124" t="s">
        <v>256</v>
      </c>
      <c r="G42" s="124">
        <f>9.9*2.3</f>
        <v>22.77</v>
      </c>
      <c r="H42" s="124">
        <v>20.1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</dc:creator>
  <cp:keywords/>
  <dc:description/>
  <cp:lastModifiedBy>Erich Haussermann</cp:lastModifiedBy>
  <cp:lastPrinted>2003-07-19T14:36:04Z</cp:lastPrinted>
  <dcterms:created xsi:type="dcterms:W3CDTF">2003-06-25T06:59:15Z</dcterms:created>
  <dcterms:modified xsi:type="dcterms:W3CDTF">2012-07-18T13:30:53Z</dcterms:modified>
  <cp:category/>
  <cp:version/>
  <cp:contentType/>
  <cp:contentStatus/>
  <cp:revision>88</cp:revision>
</cp:coreProperties>
</file>